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 tabRatio="737"/>
  </bookViews>
  <sheets>
    <sheet name="长坑村村庄基础规划建设项目库" sheetId="1" r:id="rId1"/>
    <sheet name="上水村" sheetId="2" r:id="rId2"/>
    <sheet name="上横村 下横村" sheetId="3" r:id="rId3"/>
    <sheet name="排龙" sheetId="4" r:id="rId4"/>
    <sheet name="莲岗村" sheetId="5" r:id="rId5"/>
    <sheet name="下水村" sheetId="6" r:id="rId6"/>
    <sheet name="岭安村" sheetId="7" r:id="rId7"/>
    <sheet name="连安村" sheetId="8" r:id="rId8"/>
    <sheet name="蚬坑村" sheetId="10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0" l="1"/>
  <c r="G7" i="8"/>
  <c r="G7" i="7"/>
  <c r="G7" i="6"/>
  <c r="G7" i="5"/>
  <c r="G7" i="4"/>
  <c r="G7" i="3"/>
  <c r="G7" i="2"/>
  <c r="G15" i="10"/>
  <c r="G16" i="4"/>
  <c r="G13" i="6" l="1"/>
  <c r="G15" i="5"/>
  <c r="G15" i="3"/>
  <c r="G17" i="2"/>
  <c r="G13" i="10"/>
  <c r="G13" i="8"/>
  <c r="G13" i="7"/>
  <c r="G10" i="6"/>
  <c r="G13" i="5"/>
  <c r="G13" i="4"/>
  <c r="G12" i="3"/>
  <c r="G14" i="2"/>
  <c r="G12" i="10" l="1"/>
  <c r="G10" i="10"/>
  <c r="G4" i="10" l="1"/>
  <c r="G12" i="8"/>
  <c r="G10" i="8"/>
  <c r="G4" i="8"/>
  <c r="G12" i="7"/>
  <c r="G10" i="7"/>
  <c r="G4" i="7"/>
  <c r="G11" i="6"/>
  <c r="G12" i="6"/>
  <c r="G8" i="6"/>
  <c r="G4" i="6"/>
  <c r="G12" i="5"/>
  <c r="G10" i="5"/>
  <c r="G4" i="5"/>
  <c r="G18" i="4"/>
  <c r="G15" i="4"/>
  <c r="G12" i="4"/>
  <c r="G10" i="4"/>
  <c r="G4" i="4"/>
  <c r="G4" i="3"/>
  <c r="G16" i="3"/>
  <c r="G10" i="3"/>
  <c r="G19" i="2"/>
  <c r="G18" i="2"/>
  <c r="G13" i="2"/>
  <c r="G10" i="2"/>
  <c r="G4" i="2"/>
  <c r="G20" i="2" s="1"/>
  <c r="G18" i="3" l="1"/>
  <c r="G14" i="10"/>
  <c r="G11" i="10"/>
  <c r="G17" i="10" s="1"/>
  <c r="G6" i="10"/>
  <c r="G15" i="8"/>
  <c r="G6" i="8"/>
  <c r="G14" i="7"/>
  <c r="G11" i="7"/>
  <c r="G6" i="7"/>
  <c r="G9" i="6"/>
  <c r="G14" i="5"/>
  <c r="G11" i="5"/>
  <c r="G6" i="5"/>
  <c r="C28" i="4"/>
  <c r="C27" i="4"/>
  <c r="C26" i="4"/>
  <c r="C25" i="4"/>
  <c r="C24" i="4"/>
  <c r="G11" i="4"/>
  <c r="C23" i="4"/>
  <c r="C22" i="4"/>
  <c r="C21" i="4"/>
  <c r="D24" i="3"/>
  <c r="D23" i="3"/>
  <c r="D22" i="3"/>
  <c r="D21" i="3"/>
  <c r="D20" i="3"/>
  <c r="C27" i="2"/>
  <c r="C26" i="2"/>
  <c r="C25" i="2"/>
  <c r="C24" i="2"/>
  <c r="D24" i="2" s="1"/>
  <c r="C23" i="2"/>
  <c r="C22" i="2"/>
  <c r="G17" i="5" l="1"/>
  <c r="H25" i="8"/>
  <c r="G11" i="8"/>
  <c r="G17" i="8" s="1"/>
  <c r="F55" i="1"/>
  <c r="G15" i="7" l="1"/>
  <c r="G15" i="6"/>
  <c r="G19" i="4"/>
</calcChain>
</file>

<file path=xl/sharedStrings.xml><?xml version="1.0" encoding="utf-8"?>
<sst xmlns="http://schemas.openxmlformats.org/spreadsheetml/2006/main" count="1037" uniqueCount="302">
  <si>
    <t>台山市水步镇长坑村村庄基础规划建设项目库</t>
  </si>
  <si>
    <t>序号</t>
  </si>
  <si>
    <t>项目类型</t>
  </si>
  <si>
    <t>近期建设项目分类</t>
  </si>
  <si>
    <t>项目名称</t>
  </si>
  <si>
    <t>空间位置</t>
  </si>
  <si>
    <t>建设规模</t>
  </si>
  <si>
    <t>投资规模估算（万元）</t>
  </si>
  <si>
    <t>资金筹措</t>
  </si>
  <si>
    <t>备注</t>
  </si>
  <si>
    <t>村容整治</t>
  </si>
  <si>
    <t>水系景观</t>
  </si>
  <si>
    <t>水塘整治工程</t>
  </si>
  <si>
    <t>村域范围内</t>
  </si>
  <si>
    <t>视具体情况定</t>
  </si>
  <si>
    <t>——</t>
  </si>
  <si>
    <t>政府专项资金、社会资本捐助、村民自筹</t>
  </si>
  <si>
    <t>对水塘内的淤泥进行清理，并对风水塘周边进行绿化整治，沿路一侧加设护栏。</t>
  </si>
  <si>
    <t>垃圾处理</t>
  </si>
  <si>
    <t>垃圾收集点</t>
  </si>
  <si>
    <t>垃圾收集点建设工程</t>
  </si>
  <si>
    <t>各自然村入口处沿道路旁</t>
  </si>
  <si>
    <t>垃圾收集点17处，垃圾桶51个</t>
  </si>
  <si>
    <t>放置垃圾桶，整改部分露天垃圾收集设施；配套完善垃圾屋设施和垃圾分类投放收集设施（垃圾投放点、物资回收点、阳光房、堆肥池等）</t>
  </si>
  <si>
    <t>污水处理</t>
  </si>
  <si>
    <t>污水处理设施</t>
  </si>
  <si>
    <t>污水处理池建设工程</t>
  </si>
  <si>
    <t>各自然村地势低且靠近溪流、水塘处</t>
  </si>
  <si>
    <t>采用“污水集中收集→三级消化池→净化塘（池）→露天排水沟→人工湿地（排放）”的处理工艺。并建设连接到村民住宅的雨污分流管道。</t>
  </si>
  <si>
    <t>污水管网建设</t>
  </si>
  <si>
    <t>污水管网建设工程</t>
  </si>
  <si>
    <t>沿主要道路和入户巷道</t>
  </si>
  <si>
    <t>污水管入户管径为DN150，主管为DN200-DN400。</t>
  </si>
  <si>
    <t>农房整治</t>
  </si>
  <si>
    <t>危房改造任务</t>
  </si>
  <si>
    <t>危房整治拆除工程</t>
  </si>
  <si>
    <t>引导村民自行拆除建筑质量较差或失去使用功能的空置住宅、独立辅房，牲畜棚圈等，拆除后用地改作他用</t>
  </si>
  <si>
    <t>农房整治美化</t>
  </si>
  <si>
    <t>农房整治美化工程</t>
  </si>
  <si>
    <t>结合村民意愿，对村内住房进行改造，整饰已建房屋外立面，泥砖房、赤膊墙按统一风格整饰</t>
  </si>
  <si>
    <t>村道硬化</t>
  </si>
  <si>
    <t>村道拓宽加厚</t>
  </si>
  <si>
    <t>村道拓宽加厚工程</t>
  </si>
  <si>
    <t>农村公路建设</t>
  </si>
  <si>
    <t>农村公路建设工程</t>
  </si>
  <si>
    <t>对村内未硬底化的村道进行硬底化，可采用水泥等材料。</t>
  </si>
  <si>
    <t>村内巷道硬化</t>
  </si>
  <si>
    <t>村内巷道硬化工程</t>
  </si>
  <si>
    <t>各自然村内巷道</t>
  </si>
  <si>
    <t>规划硬化2m宽巷道约1071m长，规划硬化1.5m宽巷道约1796m长</t>
  </si>
  <si>
    <t>对村内未硬底化的巷道进行硬底化，可采用水泥、青砖等材料</t>
  </si>
  <si>
    <t>设施完善</t>
  </si>
  <si>
    <t>排球场</t>
  </si>
  <si>
    <t>排球场新建工程</t>
  </si>
  <si>
    <t>排龙村、蚬坑村</t>
  </si>
  <si>
    <t>利用现状闲置用地布置</t>
  </si>
  <si>
    <t>广场</t>
  </si>
  <si>
    <t>文化广场新建工程</t>
  </si>
  <si>
    <t>公园</t>
  </si>
  <si>
    <t>健身公园建设工程</t>
  </si>
  <si>
    <t>上水村、上横村及下横、村排龙村、莲岗村、岭安村、莲安村、蚬坑村</t>
  </si>
  <si>
    <t>公共停车场</t>
  </si>
  <si>
    <t>公共停车场建设工程</t>
  </si>
  <si>
    <t>设置植草铺砖生态停车位</t>
  </si>
  <si>
    <t>路灯</t>
  </si>
  <si>
    <t>路灯建设工程</t>
  </si>
  <si>
    <t>采用高路灯，按间隔30米、单侧设置路灯</t>
  </si>
  <si>
    <t>水塘围栏</t>
  </si>
  <si>
    <t>水塘围栏建设工程</t>
  </si>
  <si>
    <t>共2727m，其中上水村360m、上横村及下横村600m、排龙村336m、莲岗村302m、下水村70m、岭安村300m、莲安村477m、蚬坑村282m</t>
  </si>
  <si>
    <t>新建水塘围栏，保证村民人身安全，可采用钢材、木材等材料</t>
  </si>
  <si>
    <t>水渠</t>
  </si>
  <si>
    <t>水渠整治工程</t>
  </si>
  <si>
    <t>将水渠做水泥硬化处理，或改为管线埋设，减少水资源浪费</t>
  </si>
  <si>
    <t>合计</t>
  </si>
  <si>
    <t>攀挂村</t>
  </si>
  <si>
    <t>文禄村</t>
  </si>
  <si>
    <t>文马仔</t>
  </si>
  <si>
    <t>九扇车</t>
  </si>
  <si>
    <t>腾蛟洋</t>
  </si>
  <si>
    <t>梁扇车</t>
  </si>
  <si>
    <t>田头屋</t>
  </si>
  <si>
    <t>车头村</t>
  </si>
  <si>
    <t>江仔口</t>
  </si>
  <si>
    <t>　20,20</t>
  </si>
  <si>
    <t>沟仔边</t>
  </si>
  <si>
    <t>上水村村庄基础规划建设项目库</t>
  </si>
  <si>
    <t>上水村内</t>
  </si>
  <si>
    <t>上水村范围内</t>
  </si>
  <si>
    <t>上水村村头、村尾处</t>
  </si>
  <si>
    <t>垃圾收集点2处，垃圾桶6个</t>
  </si>
  <si>
    <t>上水村公测旁</t>
  </si>
  <si>
    <t>1处，占地面积40m²</t>
  </si>
  <si>
    <t>沿塘基和入户巷道</t>
  </si>
  <si>
    <t>入村道路</t>
  </si>
  <si>
    <t>规划硬化1.5m宽巷道约109m长，规划硬化2m宽巷道约183m长</t>
  </si>
  <si>
    <t>上水村村口处</t>
  </si>
  <si>
    <t>上水村鱼塘西侧</t>
  </si>
  <si>
    <t>360m</t>
  </si>
  <si>
    <t>下横村 、上横村 村庄基础规划建设项目库</t>
  </si>
  <si>
    <t>下横村 、上横村 村内</t>
  </si>
  <si>
    <t>村入口处沿道路旁</t>
  </si>
  <si>
    <t>垃圾收集点3处，垃圾桶9个</t>
  </si>
  <si>
    <t>鱼塘南侧公厕旁</t>
  </si>
  <si>
    <t>上横村 、下横村 范围内</t>
  </si>
  <si>
    <t>上横村 、下横村南侧</t>
  </si>
  <si>
    <t>下横村 、上横村 村内巷道</t>
  </si>
  <si>
    <t>规划硬化2m宽巷道约114m长</t>
  </si>
  <si>
    <t>下横村 、上横村 村村入村道路、广场</t>
  </si>
  <si>
    <t>共计10套路灯</t>
  </si>
  <si>
    <t>下横村鱼塘及上横村鱼塘</t>
  </si>
  <si>
    <t>600m</t>
  </si>
  <si>
    <t>排龙村村庄基础规划建设项目库</t>
  </si>
  <si>
    <t>排龙村内</t>
  </si>
  <si>
    <t>排龙村入口处沿道路旁</t>
  </si>
  <si>
    <t>排龙村鱼塘东南侧</t>
  </si>
  <si>
    <t>排龙村南侧</t>
  </si>
  <si>
    <t>排龙村内巷道</t>
  </si>
  <si>
    <t>规划硬化2m宽巷道约312m长，规划硬化1.5m宽巷道约417m长</t>
  </si>
  <si>
    <t>排龙村村头处</t>
  </si>
  <si>
    <t>1处，分别占地162m²</t>
  </si>
  <si>
    <t>排龙村鱼塘及鱼塘边道路</t>
  </si>
  <si>
    <t>排龙村入村道路</t>
  </si>
  <si>
    <t>共计14套路灯</t>
  </si>
  <si>
    <t>莲岗村村庄基础规划建设项目库</t>
  </si>
  <si>
    <t>莲岗村范围内</t>
  </si>
  <si>
    <t>莲岗村西侧入口处和东侧村尾处沿道路旁</t>
  </si>
  <si>
    <t>莲岗村东部</t>
  </si>
  <si>
    <t>1处，占地约21㎡</t>
  </si>
  <si>
    <t>沿莲岗村塘基和入户巷道</t>
  </si>
  <si>
    <t>莲岗村外围</t>
  </si>
  <si>
    <t>规划硬化1.5m宽巷道约713m长，规划硬化2m宽巷道约180m长</t>
  </si>
  <si>
    <t>莲岗村南侧</t>
  </si>
  <si>
    <t>莲岗村鱼塘</t>
  </si>
  <si>
    <t>302m</t>
  </si>
  <si>
    <t>下水村村庄基础规划建设项目库</t>
  </si>
  <si>
    <t>下水村范围内</t>
  </si>
  <si>
    <t>下水村入口处沿道路旁</t>
  </si>
  <si>
    <t>下水村入口处</t>
  </si>
  <si>
    <t>下水村内巷道</t>
  </si>
  <si>
    <t>规划硬化2m宽巷道约157m长</t>
  </si>
  <si>
    <t>下水村入村口处</t>
  </si>
  <si>
    <t>下水村东侧碉楼处</t>
  </si>
  <si>
    <t>下水村西侧</t>
  </si>
  <si>
    <t>下水村水塘外围</t>
  </si>
  <si>
    <t>70m</t>
  </si>
  <si>
    <t>岭安村村庄基础规划建设项目库</t>
  </si>
  <si>
    <t>岭安村范围内</t>
  </si>
  <si>
    <t>岭安村两侧入口处沿道路旁</t>
  </si>
  <si>
    <t>岭安村公厕旁</t>
  </si>
  <si>
    <t>1处，占地20m²</t>
  </si>
  <si>
    <t>岭安村西侧入口处道路</t>
  </si>
  <si>
    <t>规划硬化1.5m宽巷道约81m长</t>
  </si>
  <si>
    <t>岭安村水塘外围</t>
  </si>
  <si>
    <t>300m</t>
  </si>
  <si>
    <t>岭安村入口处</t>
  </si>
  <si>
    <t>规划硬化2m宽巷道约60长</t>
  </si>
  <si>
    <t>477m</t>
  </si>
  <si>
    <t>共计7套路灯</t>
  </si>
  <si>
    <t>蚬坑村村庄基础规划建设项目库</t>
  </si>
  <si>
    <t>蚬坑村范围内</t>
  </si>
  <si>
    <t>蚬坑村村入口处沿道路旁</t>
  </si>
  <si>
    <t>蚬坑村东侧</t>
  </si>
  <si>
    <t>1处，占地30㎡</t>
  </si>
  <si>
    <t>规划硬化2m宽巷道约65m长，规划硬化1.5m宽巷道约476m长</t>
  </si>
  <si>
    <t>蚬坑村村入口处碉楼前</t>
  </si>
  <si>
    <t>蚬坑村水塘外围</t>
  </si>
  <si>
    <t>264m</t>
  </si>
  <si>
    <t>蚬坑村西侧</t>
  </si>
  <si>
    <t>村场硬化</t>
  </si>
  <si>
    <t>村场硬化工程</t>
  </si>
  <si>
    <t>对村内未硬底化的村场进行硬底化，可采用水泥、青砖等材料</t>
  </si>
  <si>
    <t>莲岗村村场西侧</t>
  </si>
  <si>
    <t>岭安村村场西侧及碉楼前</t>
  </si>
  <si>
    <t>蚬坑村村场西侧</t>
  </si>
  <si>
    <t>蚬坑村村场</t>
  </si>
  <si>
    <t>上水村内巷道</t>
    <phoneticPr fontId="9" type="noConversion"/>
  </si>
  <si>
    <t>村前</t>
    <phoneticPr fontId="9" type="noConversion"/>
  </si>
  <si>
    <t>排龙村村场南侧</t>
    <phoneticPr fontId="9" type="noConversion"/>
  </si>
  <si>
    <t>2处，分别占地16㎡,30㎡</t>
    <phoneticPr fontId="9" type="noConversion"/>
  </si>
  <si>
    <t>上横村 占地50㎡</t>
    <phoneticPr fontId="9" type="noConversion"/>
  </si>
  <si>
    <t>共8处，占地共约227m²。其中上水村占地40m²；上横村与下横村占地50m²；排龙村占地46m²；莲岗村占地21m²；岭安村占地20m²；莲安村占地20m²；蚬坑村占地30m²</t>
    <phoneticPr fontId="9" type="noConversion"/>
  </si>
  <si>
    <t>污水管主管（DN300）1889m，支管（DN150）7889m</t>
    <phoneticPr fontId="9" type="noConversion"/>
  </si>
  <si>
    <t>污水管主管（DN300）316m，支管（DN150）1445m</t>
    <phoneticPr fontId="9" type="noConversion"/>
  </si>
  <si>
    <t>污水管主管（DN300）377m，支管（DN150）1685m</t>
    <phoneticPr fontId="9" type="noConversion"/>
  </si>
  <si>
    <t>污水管主管（DN300）360m，支管（DN150）1205m</t>
    <phoneticPr fontId="9" type="noConversion"/>
  </si>
  <si>
    <t>污水管主管（DN300）233m，支管（DN150）1373m</t>
    <phoneticPr fontId="9" type="noConversion"/>
  </si>
  <si>
    <t>污水管主管（DN300）189m，支管（DN150）926m</t>
    <phoneticPr fontId="9" type="noConversion"/>
  </si>
  <si>
    <t>污水管主管（DN300）190m，支管（DN150）537m</t>
    <phoneticPr fontId="9" type="noConversion"/>
  </si>
  <si>
    <t>污水管主管（DN300）224m，支管（DN150）718m</t>
    <phoneticPr fontId="9" type="noConversion"/>
  </si>
  <si>
    <t>污水管网</t>
    <phoneticPr fontId="9" type="noConversion"/>
  </si>
  <si>
    <t>篮球场</t>
  </si>
  <si>
    <t>篮球场新建工程</t>
  </si>
  <si>
    <t>政府专项资金、社会资本捐助、村民自筹</t>
    <phoneticPr fontId="13" type="noConversion"/>
  </si>
  <si>
    <t>公厕</t>
    <phoneticPr fontId="13" type="noConversion"/>
  </si>
  <si>
    <t>无害化公共厕所新建工程</t>
    <phoneticPr fontId="13" type="noConversion"/>
  </si>
  <si>
    <t>政府专项资金、社会资本捐助、村民自筹</t>
    <phoneticPr fontId="13" type="noConversion"/>
  </si>
  <si>
    <t>拆掉旧公厕，建一座新公厕</t>
    <phoneticPr fontId="13" type="noConversion"/>
  </si>
  <si>
    <t>规划3.5m宽村道约530m长</t>
    <phoneticPr fontId="9" type="noConversion"/>
  </si>
  <si>
    <t>上水村头</t>
    <phoneticPr fontId="13" type="noConversion"/>
  </si>
  <si>
    <t>规划硬地化面积1860㎡</t>
    <phoneticPr fontId="9" type="noConversion"/>
  </si>
  <si>
    <t>占地20㎡</t>
    <phoneticPr fontId="13" type="noConversion"/>
  </si>
  <si>
    <t>1处，占地约1870m²</t>
    <phoneticPr fontId="9" type="noConversion"/>
  </si>
  <si>
    <t>入村道路</t>
    <phoneticPr fontId="9" type="noConversion"/>
  </si>
  <si>
    <t>共计3套路灯</t>
    <phoneticPr fontId="9" type="noConversion"/>
  </si>
  <si>
    <t>文化楼侧</t>
    <phoneticPr fontId="9" type="noConversion"/>
  </si>
  <si>
    <t>占地500m²</t>
    <phoneticPr fontId="9" type="noConversion"/>
  </si>
  <si>
    <t>碉楼侧</t>
    <phoneticPr fontId="13" type="noConversion"/>
  </si>
  <si>
    <t>占地650m²</t>
    <phoneticPr fontId="13" type="noConversion"/>
  </si>
  <si>
    <t>鱼塘西侧</t>
    <phoneticPr fontId="9" type="noConversion"/>
  </si>
  <si>
    <t>占地760m²</t>
    <phoneticPr fontId="9" type="noConversion"/>
  </si>
  <si>
    <t>主要入村路拓宽</t>
    <phoneticPr fontId="9" type="noConversion"/>
  </si>
  <si>
    <t>政府专项资金、社会资本捐助、村民自筹</t>
    <phoneticPr fontId="13" type="noConversion"/>
  </si>
  <si>
    <t>文化楼</t>
  </si>
  <si>
    <t>文化楼新建工程</t>
  </si>
  <si>
    <t>上横村及下横村</t>
    <phoneticPr fontId="13" type="noConversion"/>
  </si>
  <si>
    <t>1处， 占地约500m²</t>
    <phoneticPr fontId="9" type="noConversion"/>
  </si>
  <si>
    <t>规划硬底化面积6660㎡，其中下横村硬底化面积2380㎡，上横村硬底化4280㎡</t>
    <phoneticPr fontId="9" type="noConversion"/>
  </si>
  <si>
    <t>上横村碉楼前</t>
    <phoneticPr fontId="9" type="noConversion"/>
  </si>
  <si>
    <t>占地310m²</t>
    <phoneticPr fontId="9" type="noConversion"/>
  </si>
  <si>
    <t>2处，下横村占地98㎡、上横村占地38㎡</t>
    <phoneticPr fontId="13" type="noConversion"/>
  </si>
  <si>
    <t>上横村</t>
    <phoneticPr fontId="9" type="noConversion"/>
  </si>
  <si>
    <t>占地162m²</t>
    <phoneticPr fontId="9" type="noConversion"/>
  </si>
  <si>
    <t>规划3.5m环村路约260m长</t>
    <phoneticPr fontId="9" type="noConversion"/>
  </si>
  <si>
    <t>规划硬底化面积3370㎡</t>
    <phoneticPr fontId="9" type="noConversion"/>
  </si>
  <si>
    <t>1340m</t>
    <phoneticPr fontId="9" type="noConversion"/>
  </si>
  <si>
    <t>1处，占地560m²</t>
    <phoneticPr fontId="9" type="noConversion"/>
  </si>
  <si>
    <t>1处，占地490m²</t>
    <phoneticPr fontId="9" type="noConversion"/>
  </si>
  <si>
    <t>100m</t>
    <phoneticPr fontId="9" type="noConversion"/>
  </si>
  <si>
    <t>规划3.5m宽环村路约240m长</t>
    <phoneticPr fontId="9" type="noConversion"/>
  </si>
  <si>
    <t>规划硬底化面积3790㎡</t>
    <phoneticPr fontId="9" type="noConversion"/>
  </si>
  <si>
    <t>1940m²</t>
    <phoneticPr fontId="9" type="noConversion"/>
  </si>
  <si>
    <t>占地850m²</t>
    <phoneticPr fontId="9" type="noConversion"/>
  </si>
  <si>
    <t>水塘前</t>
    <phoneticPr fontId="9" type="noConversion"/>
  </si>
  <si>
    <t>水塘前</t>
    <phoneticPr fontId="13" type="noConversion"/>
  </si>
  <si>
    <t>占地420m²</t>
    <phoneticPr fontId="13" type="noConversion"/>
  </si>
  <si>
    <t>主要入村路拓宽</t>
    <phoneticPr fontId="9" type="noConversion"/>
  </si>
  <si>
    <t>占地350m²</t>
    <phoneticPr fontId="9" type="noConversion"/>
  </si>
  <si>
    <t>规划3米拓宽到5.5米共190m</t>
    <phoneticPr fontId="9" type="noConversion"/>
  </si>
  <si>
    <t>110m²</t>
    <phoneticPr fontId="9" type="noConversion"/>
  </si>
  <si>
    <t>530m²</t>
    <phoneticPr fontId="9" type="noConversion"/>
  </si>
  <si>
    <t>入村道路</t>
    <phoneticPr fontId="9" type="noConversion"/>
  </si>
  <si>
    <t>共计6套路灯</t>
    <phoneticPr fontId="9" type="noConversion"/>
  </si>
  <si>
    <t>规划5.5m宽村道约1240m长、规划3.5米环塘路170m长</t>
    <phoneticPr fontId="9" type="noConversion"/>
  </si>
  <si>
    <t>规划硬底化面积2560㎡</t>
    <phoneticPr fontId="9" type="noConversion"/>
  </si>
  <si>
    <t>占地160m²</t>
    <phoneticPr fontId="9" type="noConversion"/>
  </si>
  <si>
    <t>规划3.5m宽环村路33m长</t>
    <phoneticPr fontId="9" type="noConversion"/>
  </si>
  <si>
    <t>公园侧</t>
    <phoneticPr fontId="9" type="noConversion"/>
  </si>
  <si>
    <t>占地162m²</t>
    <phoneticPr fontId="9" type="noConversion"/>
  </si>
  <si>
    <t>规划硬底化面积3260㎡</t>
    <phoneticPr fontId="9" type="noConversion"/>
  </si>
  <si>
    <t>占地约130m²</t>
    <phoneticPr fontId="9" type="noConversion"/>
  </si>
  <si>
    <t>蚬坑村塘边</t>
    <phoneticPr fontId="9" type="noConversion"/>
  </si>
  <si>
    <t>3.5m宽村道约150m长</t>
    <phoneticPr fontId="9" type="noConversion"/>
  </si>
  <si>
    <t>规划硬底化面积3550㎡</t>
    <phoneticPr fontId="9" type="noConversion"/>
  </si>
  <si>
    <t>占地约450m²</t>
    <phoneticPr fontId="9" type="noConversion"/>
  </si>
  <si>
    <t>290m</t>
    <phoneticPr fontId="9" type="noConversion"/>
  </si>
  <si>
    <t>占地162m²</t>
    <phoneticPr fontId="9" type="noConversion"/>
  </si>
  <si>
    <t>下水村入村路</t>
    <phoneticPr fontId="9" type="noConversion"/>
  </si>
  <si>
    <t>规划3米拓宽5.5米路190m</t>
    <phoneticPr fontId="9" type="noConversion"/>
  </si>
  <si>
    <t>上水村、排龙村、莲岗村、岭安村、莲安村、蚬坑村</t>
    <phoneticPr fontId="9" type="noConversion"/>
  </si>
  <si>
    <t>规划5.5m村道约1240m长；3.5m宽村道约1383m长</t>
    <phoneticPr fontId="9" type="noConversion"/>
  </si>
  <si>
    <t>上水村 、上横村 、下横村、 排龙村、莲岗村、岭安村、莲安村、蚬坑村</t>
    <phoneticPr fontId="9" type="noConversion"/>
  </si>
  <si>
    <t>共占地26370㎡，其中上水村3180㎡ ，上横村 、下横村6660㎡，排龙村3370㎡，莲岗村3790㎡，岭安村2560㎡，莲安村3260㎡，蚬坑村3550㎡</t>
    <phoneticPr fontId="9" type="noConversion"/>
  </si>
  <si>
    <t>下横村公厕旁</t>
    <phoneticPr fontId="9" type="noConversion"/>
  </si>
  <si>
    <t>共占地6140m²，其中上水村1870m²、上横村及下横村500m²、排龙村560m²、莲岗村1940m²、下水村530m²、岭安村160m²、莲安村130m²、蚬坑村450m²</t>
    <phoneticPr fontId="9" type="noConversion"/>
  </si>
  <si>
    <t>共计40套路灯</t>
    <phoneticPr fontId="9" type="noConversion"/>
  </si>
  <si>
    <t>上水村、上横村及下横村、下水村、排龙村、莲安村</t>
    <phoneticPr fontId="9" type="noConversion"/>
  </si>
  <si>
    <t>共407m，排龙村100m、蚬坑村290m</t>
    <phoneticPr fontId="9" type="noConversion"/>
  </si>
  <si>
    <t>上水村、下水村碉楼前、上横村碉楼前、莲岗村水塘前</t>
    <phoneticPr fontId="9" type="noConversion"/>
  </si>
  <si>
    <t>共1770㎡，上水村占地500m²、上横村占地310㎡、莲岗村占地850㎡、下水村占地110㎡</t>
    <phoneticPr fontId="9" type="noConversion"/>
  </si>
  <si>
    <t>2处，占地136㎡</t>
    <phoneticPr fontId="13" type="noConversion"/>
  </si>
  <si>
    <t>上横村、排龙村、下水村、莲安村、蚬坑村</t>
    <phoneticPr fontId="9" type="noConversion"/>
  </si>
  <si>
    <t>5处，上横村占地162m²、排龙村占地162m²、下水村占地350㎡、莲安村占地162㎡、蚬坑村占地162㎡</t>
    <phoneticPr fontId="9" type="noConversion"/>
  </si>
  <si>
    <t>上水村、莲岗村</t>
    <phoneticPr fontId="13" type="noConversion"/>
  </si>
  <si>
    <t>2处，上水村占地650m²、莲岗村占地420㎡</t>
    <phoneticPr fontId="13" type="noConversion"/>
  </si>
  <si>
    <t>上水村、排龙村</t>
    <phoneticPr fontId="9" type="noConversion"/>
  </si>
  <si>
    <t>2处，上水村占地760m²、排龙占地490㎡</t>
    <phoneticPr fontId="9" type="noConversion"/>
  </si>
  <si>
    <t>排水处理</t>
  </si>
  <si>
    <t>雨水管网建设</t>
  </si>
  <si>
    <t>雨水管网建设工程</t>
  </si>
  <si>
    <t>雨水管管径为DN200</t>
  </si>
  <si>
    <t>雨水管主管（DN300）130m，支管（DN200）1500m</t>
    <phoneticPr fontId="9" type="noConversion"/>
  </si>
  <si>
    <t>雨水管主管（DN300）50m，支管（DN200）1800m</t>
    <phoneticPr fontId="9" type="noConversion"/>
  </si>
  <si>
    <t>雨水管主管（DN300）160m，支管（DN200）1300m</t>
    <phoneticPr fontId="9" type="noConversion"/>
  </si>
  <si>
    <t>雨水管主管（DN300）100m，支管（DN200）1450m</t>
    <phoneticPr fontId="9" type="noConversion"/>
  </si>
  <si>
    <t>雨水管主管（DN300）100m，支管（DN200）500m</t>
    <phoneticPr fontId="9" type="noConversion"/>
  </si>
  <si>
    <t>雨水管支管（DN200）1000m</t>
    <phoneticPr fontId="9" type="noConversion"/>
  </si>
  <si>
    <t>雨水管主管（DN300）40m，支管（DN200）650m</t>
    <phoneticPr fontId="9" type="noConversion"/>
  </si>
  <si>
    <t>雨水管主管（DN300）80m，支管（DN200）900m</t>
    <phoneticPr fontId="9" type="noConversion"/>
  </si>
  <si>
    <t>雨水管主管（DN300）660m，支管（DN200）9100m</t>
    <phoneticPr fontId="13" type="noConversion"/>
  </si>
  <si>
    <t>连安村村庄基础规划建设项目库</t>
  </si>
  <si>
    <t>连安村范围内</t>
  </si>
  <si>
    <t>连安村村入口处沿道路旁</t>
  </si>
  <si>
    <t>连安村公厕旁</t>
  </si>
  <si>
    <t>连安村入村口处</t>
  </si>
  <si>
    <t>连安村巷道内</t>
  </si>
  <si>
    <t>连安村村场西侧</t>
  </si>
  <si>
    <t>连安村</t>
  </si>
  <si>
    <t>连安村入村道路</t>
  </si>
  <si>
    <t>连安村水塘外围</t>
  </si>
  <si>
    <t>上水村村头</t>
    <phoneticPr fontId="13" type="noConversion"/>
  </si>
  <si>
    <t>共1处，各占地20㎡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</si>
</sst>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>
    <font>
      <sz val="11"/>
      <color theme="1"/>
      <name val="等线"/>
      <charset val="134"/>
      <scheme val="minor"/>
    </font>
    <font>
      <b/>
      <sz val="14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8"/>
      <color rgb="FF000000"/>
      <name val="微软雅黑"/>
      <family val="2"/>
      <charset val="134"/>
    </font>
    <font>
      <sz val="16"/>
      <color rgb="FF000000"/>
      <name val="微软雅黑"/>
      <family val="2"/>
      <charset val="134"/>
    </font>
    <font>
      <sz val="16"/>
      <color rgb="FFFFFFFF"/>
      <name val="微软雅黑"/>
      <family val="2"/>
      <charset val="134"/>
    </font>
    <font>
      <sz val="16"/>
      <color rgb="FFFF0000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176" fontId="0" fillId="0" borderId="0" xfId="0" applyNumberFormat="1" applyFont="1" applyFill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 readingOrder="1"/>
    </xf>
    <xf numFmtId="176" fontId="6" fillId="0" borderId="0" xfId="0" applyNumberFormat="1" applyFont="1" applyFill="1" applyBorder="1" applyAlignment="1">
      <alignment horizontal="center" vertical="center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6" fillId="0" borderId="10" xfId="0" applyFont="1" applyBorder="1" applyAlignment="1">
      <alignment horizontal="center" vertical="center" wrapText="1" readingOrder="1"/>
    </xf>
    <xf numFmtId="0" fontId="10" fillId="0" borderId="0" xfId="0" applyFont="1">
      <alignment vertical="center"/>
    </xf>
    <xf numFmtId="176" fontId="11" fillId="0" borderId="0" xfId="0" applyNumberFormat="1" applyFont="1" applyFill="1">
      <alignment vertical="center"/>
    </xf>
    <xf numFmtId="176" fontId="12" fillId="0" borderId="0" xfId="0" applyNumberFormat="1" applyFont="1" applyFill="1">
      <alignment vertical="center"/>
    </xf>
    <xf numFmtId="0" fontId="11" fillId="0" borderId="0" xfId="0" applyFo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14" fillId="0" borderId="0" xfId="0" applyNumberFormat="1" applyFont="1" applyFill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 readingOrder="1"/>
    </xf>
    <xf numFmtId="0" fontId="6" fillId="0" borderId="0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A10" zoomScale="70" zoomScaleNormal="70" workbookViewId="0">
      <selection activeCell="G17" sqref="G17"/>
    </sheetView>
  </sheetViews>
  <sheetFormatPr defaultColWidth="9" defaultRowHeight="16.5"/>
  <cols>
    <col min="1" max="1" width="9" style="14"/>
    <col min="2" max="2" width="9" style="14" customWidth="1"/>
    <col min="3" max="3" width="16.25" style="14" customWidth="1"/>
    <col min="4" max="4" width="26.75" style="14" customWidth="1"/>
    <col min="5" max="5" width="43" style="14" customWidth="1"/>
    <col min="6" max="6" width="48.375" style="14" customWidth="1"/>
    <col min="7" max="7" width="15.875" style="15" customWidth="1"/>
    <col min="8" max="8" width="23" style="14" customWidth="1"/>
    <col min="9" max="9" width="49" style="14" customWidth="1"/>
    <col min="10" max="16384" width="9" style="14"/>
  </cols>
  <sheetData>
    <row r="1" spans="1:9" ht="34.5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</row>
    <row r="2" spans="1:9" ht="47.25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52.5" customHeight="1">
      <c r="A3" s="3">
        <v>1</v>
      </c>
      <c r="B3" s="26" t="s">
        <v>10</v>
      </c>
      <c r="C3" s="1" t="s">
        <v>11</v>
      </c>
      <c r="D3" s="1" t="s">
        <v>12</v>
      </c>
      <c r="E3" s="1" t="s">
        <v>13</v>
      </c>
      <c r="F3" s="1" t="s">
        <v>14</v>
      </c>
      <c r="G3" s="2" t="s">
        <v>15</v>
      </c>
      <c r="H3" s="3" t="s">
        <v>16</v>
      </c>
      <c r="I3" s="1" t="s">
        <v>17</v>
      </c>
    </row>
    <row r="4" spans="1:9" s="13" customFormat="1" ht="57.75" customHeight="1">
      <c r="A4" s="3">
        <v>2</v>
      </c>
      <c r="B4" s="3" t="s">
        <v>18</v>
      </c>
      <c r="C4" s="3" t="s">
        <v>19</v>
      </c>
      <c r="D4" s="3" t="s">
        <v>20</v>
      </c>
      <c r="E4" s="3" t="s">
        <v>21</v>
      </c>
      <c r="F4" s="3" t="s">
        <v>22</v>
      </c>
      <c r="G4" s="2">
        <v>3.0599999999999996</v>
      </c>
      <c r="H4" s="3" t="s">
        <v>16</v>
      </c>
      <c r="I4" s="1" t="s">
        <v>23</v>
      </c>
    </row>
    <row r="5" spans="1:9" s="13" customFormat="1" ht="102.75" customHeight="1">
      <c r="A5" s="3">
        <v>3</v>
      </c>
      <c r="B5" s="46" t="s">
        <v>24</v>
      </c>
      <c r="C5" s="5" t="s">
        <v>25</v>
      </c>
      <c r="D5" s="3" t="s">
        <v>26</v>
      </c>
      <c r="E5" s="3" t="s">
        <v>27</v>
      </c>
      <c r="F5" s="3" t="s">
        <v>181</v>
      </c>
      <c r="G5" s="2">
        <v>134</v>
      </c>
      <c r="H5" s="3" t="s">
        <v>16</v>
      </c>
      <c r="I5" s="1" t="s">
        <v>28</v>
      </c>
    </row>
    <row r="6" spans="1:9" ht="41.25" customHeight="1">
      <c r="A6" s="3">
        <v>4</v>
      </c>
      <c r="B6" s="47"/>
      <c r="C6" s="1" t="s">
        <v>29</v>
      </c>
      <c r="D6" s="1" t="s">
        <v>30</v>
      </c>
      <c r="E6" s="6" t="s">
        <v>31</v>
      </c>
      <c r="F6" s="6" t="s">
        <v>182</v>
      </c>
      <c r="G6" s="2">
        <v>149.255</v>
      </c>
      <c r="H6" s="3" t="s">
        <v>16</v>
      </c>
      <c r="I6" s="1" t="s">
        <v>32</v>
      </c>
    </row>
    <row r="7" spans="1:9" ht="41.25" customHeight="1">
      <c r="A7" s="3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289</v>
      </c>
      <c r="G7" s="4">
        <v>86</v>
      </c>
      <c r="H7" s="38" t="s">
        <v>16</v>
      </c>
      <c r="I7" s="38" t="s">
        <v>280</v>
      </c>
    </row>
    <row r="8" spans="1:9" ht="39.75" customHeight="1">
      <c r="A8" s="3">
        <v>6</v>
      </c>
      <c r="B8" s="48" t="s">
        <v>33</v>
      </c>
      <c r="C8" s="1" t="s">
        <v>34</v>
      </c>
      <c r="D8" s="1" t="s">
        <v>35</v>
      </c>
      <c r="E8" s="1" t="s">
        <v>13</v>
      </c>
      <c r="F8" s="1" t="s">
        <v>14</v>
      </c>
      <c r="G8" s="2" t="s">
        <v>15</v>
      </c>
      <c r="H8" s="3" t="s">
        <v>16</v>
      </c>
      <c r="I8" s="1" t="s">
        <v>36</v>
      </c>
    </row>
    <row r="9" spans="1:9" ht="33">
      <c r="A9" s="3">
        <v>7</v>
      </c>
      <c r="B9" s="47"/>
      <c r="C9" s="1" t="s">
        <v>37</v>
      </c>
      <c r="D9" s="1" t="s">
        <v>38</v>
      </c>
      <c r="E9" s="1" t="s">
        <v>13</v>
      </c>
      <c r="F9" s="1" t="s">
        <v>14</v>
      </c>
      <c r="G9" s="2">
        <v>170</v>
      </c>
      <c r="H9" s="3" t="s">
        <v>16</v>
      </c>
      <c r="I9" s="1" t="s">
        <v>39</v>
      </c>
    </row>
    <row r="10" spans="1:9" ht="57" customHeight="1">
      <c r="A10" s="3">
        <v>8</v>
      </c>
      <c r="B10" s="48" t="s">
        <v>40</v>
      </c>
      <c r="C10" s="31" t="s">
        <v>41</v>
      </c>
      <c r="D10" s="1" t="s">
        <v>42</v>
      </c>
      <c r="E10" s="3" t="s">
        <v>257</v>
      </c>
      <c r="F10" s="3" t="s">
        <v>258</v>
      </c>
      <c r="G10" s="2">
        <v>4.75</v>
      </c>
      <c r="H10" s="3" t="s">
        <v>16</v>
      </c>
      <c r="I10" s="1" t="s">
        <v>211</v>
      </c>
    </row>
    <row r="11" spans="1:9" ht="33">
      <c r="A11" s="3">
        <v>9</v>
      </c>
      <c r="B11" s="46"/>
      <c r="C11" s="31" t="s">
        <v>43</v>
      </c>
      <c r="D11" s="1" t="s">
        <v>44</v>
      </c>
      <c r="E11" s="1" t="s">
        <v>259</v>
      </c>
      <c r="F11" s="1" t="s">
        <v>260</v>
      </c>
      <c r="G11" s="2">
        <v>116.605</v>
      </c>
      <c r="H11" s="3" t="s">
        <v>16</v>
      </c>
      <c r="I11" s="1" t="s">
        <v>45</v>
      </c>
    </row>
    <row r="12" spans="1:9" ht="33">
      <c r="A12" s="3">
        <v>10</v>
      </c>
      <c r="B12" s="46"/>
      <c r="C12" s="1" t="s">
        <v>46</v>
      </c>
      <c r="D12" s="1" t="s">
        <v>47</v>
      </c>
      <c r="E12" s="6" t="s">
        <v>48</v>
      </c>
      <c r="F12" s="6" t="s">
        <v>49</v>
      </c>
      <c r="G12" s="2">
        <v>55.564999999999998</v>
      </c>
      <c r="H12" s="3" t="s">
        <v>16</v>
      </c>
      <c r="I12" s="1" t="s">
        <v>50</v>
      </c>
    </row>
    <row r="13" spans="1:9" ht="63" customHeight="1">
      <c r="A13" s="3">
        <v>11</v>
      </c>
      <c r="B13" s="47"/>
      <c r="C13" s="31" t="s">
        <v>169</v>
      </c>
      <c r="D13" s="1" t="s">
        <v>170</v>
      </c>
      <c r="E13" s="1" t="s">
        <v>261</v>
      </c>
      <c r="F13" s="1" t="s">
        <v>262</v>
      </c>
      <c r="G13" s="2">
        <v>250.49999999999997</v>
      </c>
      <c r="H13" s="1" t="s">
        <v>16</v>
      </c>
      <c r="I13" s="1" t="s">
        <v>171</v>
      </c>
    </row>
    <row r="14" spans="1:9" ht="39.75" customHeight="1">
      <c r="A14" s="3">
        <v>12</v>
      </c>
      <c r="B14" s="49" t="s">
        <v>51</v>
      </c>
      <c r="C14" s="25" t="s">
        <v>194</v>
      </c>
      <c r="D14" s="28" t="s">
        <v>195</v>
      </c>
      <c r="E14" s="28" t="s">
        <v>300</v>
      </c>
      <c r="F14" s="28" t="s">
        <v>301</v>
      </c>
      <c r="G14" s="4">
        <v>3</v>
      </c>
      <c r="H14" s="3" t="s">
        <v>196</v>
      </c>
      <c r="I14" s="28" t="s">
        <v>197</v>
      </c>
    </row>
    <row r="15" spans="1:9" s="13" customFormat="1" ht="66.75" customHeight="1">
      <c r="A15" s="3">
        <v>13</v>
      </c>
      <c r="B15" s="49"/>
      <c r="C15" s="29" t="s">
        <v>58</v>
      </c>
      <c r="D15" s="3" t="s">
        <v>59</v>
      </c>
      <c r="E15" s="1" t="s">
        <v>60</v>
      </c>
      <c r="F15" s="3" t="s">
        <v>264</v>
      </c>
      <c r="G15" s="2">
        <v>122.79999999999998</v>
      </c>
      <c r="H15" s="3" t="s">
        <v>16</v>
      </c>
      <c r="I15" s="1" t="s">
        <v>55</v>
      </c>
    </row>
    <row r="16" spans="1:9" s="13" customFormat="1" ht="39.75" customHeight="1">
      <c r="A16" s="3">
        <v>14</v>
      </c>
      <c r="B16" s="49"/>
      <c r="C16" s="33" t="s">
        <v>64</v>
      </c>
      <c r="D16" s="3" t="s">
        <v>65</v>
      </c>
      <c r="E16" s="3" t="s">
        <v>266</v>
      </c>
      <c r="F16" s="3" t="s">
        <v>265</v>
      </c>
      <c r="G16" s="2">
        <v>34.5</v>
      </c>
      <c r="H16" s="3" t="s">
        <v>16</v>
      </c>
      <c r="I16" s="1" t="s">
        <v>66</v>
      </c>
    </row>
    <row r="17" spans="1:9" s="13" customFormat="1" ht="56.25" customHeight="1">
      <c r="A17" s="3">
        <v>15</v>
      </c>
      <c r="B17" s="49"/>
      <c r="C17" s="29" t="s">
        <v>67</v>
      </c>
      <c r="D17" s="3" t="s">
        <v>68</v>
      </c>
      <c r="E17" s="3" t="s">
        <v>60</v>
      </c>
      <c r="F17" s="3" t="s">
        <v>69</v>
      </c>
      <c r="G17" s="2">
        <v>74.259999999999991</v>
      </c>
      <c r="H17" s="3" t="s">
        <v>16</v>
      </c>
      <c r="I17" s="1" t="s">
        <v>70</v>
      </c>
    </row>
    <row r="18" spans="1:9" s="13" customFormat="1" ht="44.25" customHeight="1">
      <c r="A18" s="3">
        <v>16</v>
      </c>
      <c r="B18" s="49"/>
      <c r="C18" s="33" t="s">
        <v>71</v>
      </c>
      <c r="D18" s="3" t="s">
        <v>72</v>
      </c>
      <c r="E18" s="3" t="s">
        <v>54</v>
      </c>
      <c r="F18" s="3" t="s">
        <v>267</v>
      </c>
      <c r="G18" s="2">
        <v>3.9</v>
      </c>
      <c r="H18" s="3" t="s">
        <v>16</v>
      </c>
      <c r="I18" s="1" t="s">
        <v>73</v>
      </c>
    </row>
    <row r="19" spans="1:9" s="13" customFormat="1" ht="33">
      <c r="A19" s="3">
        <v>17</v>
      </c>
      <c r="B19" s="49"/>
      <c r="C19" s="33" t="s">
        <v>56</v>
      </c>
      <c r="D19" s="3" t="s">
        <v>57</v>
      </c>
      <c r="E19" s="3" t="s">
        <v>268</v>
      </c>
      <c r="F19" s="3" t="s">
        <v>269</v>
      </c>
      <c r="G19" s="2">
        <v>17.700000000000003</v>
      </c>
      <c r="H19" s="3" t="s">
        <v>16</v>
      </c>
      <c r="I19" s="1" t="s">
        <v>55</v>
      </c>
    </row>
    <row r="20" spans="1:9" s="13" customFormat="1" ht="34.5" customHeight="1">
      <c r="A20" s="3">
        <v>18</v>
      </c>
      <c r="B20" s="49"/>
      <c r="C20" s="35" t="s">
        <v>213</v>
      </c>
      <c r="D20" s="26" t="s">
        <v>214</v>
      </c>
      <c r="E20" s="27" t="s">
        <v>215</v>
      </c>
      <c r="F20" s="26" t="s">
        <v>270</v>
      </c>
      <c r="G20" s="34">
        <v>54.4</v>
      </c>
      <c r="H20" s="26" t="s">
        <v>212</v>
      </c>
      <c r="I20" s="26" t="s">
        <v>55</v>
      </c>
    </row>
    <row r="21" spans="1:9" s="13" customFormat="1" ht="33">
      <c r="A21" s="3">
        <v>19</v>
      </c>
      <c r="B21" s="49"/>
      <c r="C21" s="29" t="s">
        <v>52</v>
      </c>
      <c r="D21" s="3" t="s">
        <v>53</v>
      </c>
      <c r="E21" s="3" t="s">
        <v>271</v>
      </c>
      <c r="F21" s="3" t="s">
        <v>272</v>
      </c>
      <c r="G21" s="2">
        <v>20.5</v>
      </c>
      <c r="H21" s="3" t="s">
        <v>16</v>
      </c>
      <c r="I21" s="1" t="s">
        <v>55</v>
      </c>
    </row>
    <row r="22" spans="1:9" s="13" customFormat="1" ht="36.75" customHeight="1">
      <c r="A22" s="3">
        <v>20</v>
      </c>
      <c r="B22" s="49"/>
      <c r="C22" s="29" t="s">
        <v>191</v>
      </c>
      <c r="D22" s="3" t="s">
        <v>192</v>
      </c>
      <c r="E22" s="3" t="s">
        <v>273</v>
      </c>
      <c r="F22" s="3" t="s">
        <v>274</v>
      </c>
      <c r="G22" s="4">
        <v>12.7</v>
      </c>
      <c r="H22" s="3" t="s">
        <v>193</v>
      </c>
      <c r="I22" s="28" t="s">
        <v>55</v>
      </c>
    </row>
    <row r="23" spans="1:9" s="13" customFormat="1" ht="39" customHeight="1">
      <c r="A23" s="3">
        <v>21</v>
      </c>
      <c r="B23" s="49"/>
      <c r="C23" s="29" t="s">
        <v>61</v>
      </c>
      <c r="D23" s="3" t="s">
        <v>62</v>
      </c>
      <c r="E23" s="3" t="s">
        <v>275</v>
      </c>
      <c r="F23" s="3" t="s">
        <v>276</v>
      </c>
      <c r="G23" s="2">
        <v>10.54</v>
      </c>
      <c r="H23" s="3" t="s">
        <v>16</v>
      </c>
      <c r="I23" s="1" t="s">
        <v>63</v>
      </c>
    </row>
    <row r="24" spans="1:9" ht="26.25" customHeight="1">
      <c r="A24" s="41" t="s">
        <v>74</v>
      </c>
      <c r="B24" s="42"/>
      <c r="C24" s="42"/>
      <c r="D24" s="43"/>
      <c r="E24" s="1" t="s">
        <v>15</v>
      </c>
      <c r="F24" s="1" t="s">
        <v>15</v>
      </c>
      <c r="G24" s="2">
        <v>1324.0350000000001</v>
      </c>
      <c r="H24" s="1" t="s">
        <v>15</v>
      </c>
      <c r="I24" s="1" t="s">
        <v>15</v>
      </c>
    </row>
    <row r="31" spans="1:9" ht="24.75">
      <c r="F31" s="44"/>
      <c r="G31" s="44"/>
      <c r="H31" s="44"/>
    </row>
    <row r="32" spans="1:9" ht="22.5">
      <c r="F32" s="16"/>
      <c r="G32" s="17"/>
      <c r="H32" s="16"/>
    </row>
    <row r="33" spans="4:8" ht="22.5">
      <c r="F33" s="16"/>
      <c r="G33" s="17"/>
      <c r="H33" s="16"/>
    </row>
    <row r="34" spans="4:8" ht="22.5">
      <c r="F34" s="16"/>
      <c r="G34" s="17"/>
      <c r="H34" s="16"/>
    </row>
    <row r="35" spans="4:8" ht="22.5">
      <c r="F35" s="16"/>
      <c r="G35" s="17"/>
      <c r="H35" s="16"/>
    </row>
    <row r="36" spans="4:8" ht="22.5">
      <c r="F36" s="16"/>
      <c r="G36" s="17"/>
      <c r="H36" s="16"/>
    </row>
    <row r="37" spans="4:8" ht="22.5">
      <c r="F37" s="16"/>
      <c r="G37" s="17"/>
      <c r="H37" s="16"/>
    </row>
    <row r="38" spans="4:8" ht="22.5">
      <c r="F38" s="16"/>
      <c r="G38" s="17"/>
      <c r="H38" s="16"/>
    </row>
    <row r="39" spans="4:8" ht="22.5">
      <c r="F39" s="16"/>
      <c r="G39" s="17"/>
      <c r="H39" s="16"/>
    </row>
    <row r="40" spans="4:8" ht="22.5">
      <c r="F40" s="16"/>
      <c r="G40" s="17"/>
      <c r="H40" s="16"/>
    </row>
    <row r="41" spans="4:8" ht="22.5">
      <c r="F41" s="16"/>
      <c r="G41" s="17"/>
      <c r="H41" s="16"/>
    </row>
    <row r="42" spans="4:8" ht="22.5">
      <c r="F42" s="16"/>
      <c r="G42" s="17"/>
      <c r="H42" s="16"/>
    </row>
    <row r="43" spans="4:8" ht="22.5">
      <c r="F43" s="45"/>
      <c r="G43" s="45"/>
      <c r="H43" s="16"/>
    </row>
    <row r="45" spans="4:8" ht="23.25" thickBot="1">
      <c r="D45" s="18" t="s">
        <v>75</v>
      </c>
      <c r="E45" s="19">
        <v>40</v>
      </c>
      <c r="F45" s="14">
        <v>20</v>
      </c>
    </row>
    <row r="46" spans="4:8" ht="23.25" thickBot="1">
      <c r="D46" s="18" t="s">
        <v>76</v>
      </c>
      <c r="E46" s="20">
        <v>120</v>
      </c>
      <c r="F46" s="14">
        <v>60</v>
      </c>
    </row>
    <row r="47" spans="4:8" ht="23.25" thickBot="1">
      <c r="D47" s="18" t="s">
        <v>77</v>
      </c>
      <c r="E47" s="20">
        <v>20</v>
      </c>
      <c r="F47" s="14">
        <v>13.7</v>
      </c>
    </row>
    <row r="48" spans="4:8" ht="23.25" thickBot="1">
      <c r="D48" s="18" t="s">
        <v>78</v>
      </c>
      <c r="E48" s="20">
        <v>80</v>
      </c>
      <c r="F48" s="14">
        <v>40</v>
      </c>
    </row>
    <row r="49" spans="4:6" ht="23.25" thickBot="1">
      <c r="D49" s="18" t="s">
        <v>79</v>
      </c>
      <c r="E49" s="20">
        <v>120</v>
      </c>
      <c r="F49" s="14">
        <v>60</v>
      </c>
    </row>
    <row r="50" spans="4:6" ht="23.25" thickBot="1">
      <c r="D50" s="18" t="s">
        <v>80</v>
      </c>
      <c r="E50" s="20">
        <v>10</v>
      </c>
      <c r="F50" s="14">
        <v>10</v>
      </c>
    </row>
    <row r="51" spans="4:6" ht="23.25" thickBot="1">
      <c r="D51" s="18" t="s">
        <v>81</v>
      </c>
      <c r="E51" s="20">
        <v>40</v>
      </c>
      <c r="F51" s="14">
        <v>20</v>
      </c>
    </row>
    <row r="52" spans="4:6" ht="23.25" thickBot="1">
      <c r="D52" s="18" t="s">
        <v>82</v>
      </c>
      <c r="E52" s="20">
        <v>40</v>
      </c>
      <c r="F52" s="14">
        <v>20</v>
      </c>
    </row>
    <row r="53" spans="4:6" ht="23.25" thickBot="1">
      <c r="D53" s="18" t="s">
        <v>83</v>
      </c>
      <c r="E53" s="20" t="s">
        <v>84</v>
      </c>
      <c r="F53" s="14">
        <v>20</v>
      </c>
    </row>
    <row r="54" spans="4:6" ht="23.25" thickBot="1">
      <c r="D54" s="18" t="s">
        <v>85</v>
      </c>
      <c r="E54" s="20">
        <v>20</v>
      </c>
      <c r="F54" s="14">
        <v>13.7</v>
      </c>
    </row>
    <row r="55" spans="4:6">
      <c r="F55" s="14">
        <f>SUM(F45:F54)</f>
        <v>277.39999999999998</v>
      </c>
    </row>
  </sheetData>
  <mergeCells count="8">
    <mergeCell ref="A1:I1"/>
    <mergeCell ref="A24:D24"/>
    <mergeCell ref="F31:H31"/>
    <mergeCell ref="F43:G43"/>
    <mergeCell ref="B5:B6"/>
    <mergeCell ref="B8:B9"/>
    <mergeCell ref="B10:B13"/>
    <mergeCell ref="B14:B23"/>
  </mergeCells>
  <phoneticPr fontId="9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4" zoomScale="70" zoomScaleNormal="70" workbookViewId="0">
      <selection activeCell="F7" sqref="F7"/>
    </sheetView>
  </sheetViews>
  <sheetFormatPr defaultColWidth="9" defaultRowHeight="13.5"/>
  <cols>
    <col min="1" max="1" width="6.75" customWidth="1"/>
    <col min="2" max="2" width="12.375" customWidth="1"/>
    <col min="3" max="4" width="17.5" customWidth="1"/>
    <col min="5" max="5" width="18.5" customWidth="1"/>
    <col min="6" max="6" width="39.375" customWidth="1"/>
    <col min="7" max="7" width="17.375" style="22" customWidth="1"/>
    <col min="8" max="8" width="24.625" customWidth="1"/>
    <col min="9" max="9" width="69.5" customWidth="1"/>
  </cols>
  <sheetData>
    <row r="1" spans="1:9" ht="21">
      <c r="A1" s="39" t="s">
        <v>86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1">
        <v>1</v>
      </c>
      <c r="B3" s="26" t="s">
        <v>10</v>
      </c>
      <c r="C3" s="1" t="s">
        <v>11</v>
      </c>
      <c r="D3" s="1" t="s">
        <v>12</v>
      </c>
      <c r="E3" s="1" t="s">
        <v>87</v>
      </c>
      <c r="F3" s="1" t="s">
        <v>14</v>
      </c>
      <c r="G3" s="2" t="s">
        <v>15</v>
      </c>
      <c r="H3" s="1" t="s">
        <v>16</v>
      </c>
      <c r="I3" s="1" t="s">
        <v>17</v>
      </c>
    </row>
    <row r="4" spans="1:9" ht="33">
      <c r="A4" s="38">
        <v>2</v>
      </c>
      <c r="B4" s="1" t="s">
        <v>18</v>
      </c>
      <c r="C4" s="1" t="s">
        <v>19</v>
      </c>
      <c r="D4" s="1" t="s">
        <v>20</v>
      </c>
      <c r="E4" s="1" t="s">
        <v>89</v>
      </c>
      <c r="F4" s="1" t="s">
        <v>90</v>
      </c>
      <c r="G4" s="2">
        <f>0.06*6</f>
        <v>0.36</v>
      </c>
      <c r="H4" s="1" t="s">
        <v>16</v>
      </c>
      <c r="I4" s="1" t="s">
        <v>23</v>
      </c>
    </row>
    <row r="5" spans="1:9" ht="33">
      <c r="A5" s="38">
        <v>3</v>
      </c>
      <c r="B5" s="48" t="s">
        <v>24</v>
      </c>
      <c r="C5" s="1" t="s">
        <v>25</v>
      </c>
      <c r="D5" s="1" t="s">
        <v>26</v>
      </c>
      <c r="E5" s="1" t="s">
        <v>91</v>
      </c>
      <c r="F5" s="1" t="s">
        <v>92</v>
      </c>
      <c r="G5" s="2">
        <v>23</v>
      </c>
      <c r="H5" s="1" t="s">
        <v>16</v>
      </c>
      <c r="I5" s="1" t="s">
        <v>28</v>
      </c>
    </row>
    <row r="6" spans="1:9" ht="33">
      <c r="A6" s="38">
        <v>4</v>
      </c>
      <c r="B6" s="47"/>
      <c r="C6" s="1" t="s">
        <v>29</v>
      </c>
      <c r="D6" s="1" t="s">
        <v>30</v>
      </c>
      <c r="E6" s="1" t="s">
        <v>93</v>
      </c>
      <c r="F6" s="11" t="s">
        <v>183</v>
      </c>
      <c r="G6" s="2">
        <v>28</v>
      </c>
      <c r="H6" s="1" t="s">
        <v>16</v>
      </c>
      <c r="I6" s="1" t="s">
        <v>32</v>
      </c>
    </row>
    <row r="7" spans="1:9" s="14" customFormat="1" ht="41.25" customHeight="1">
      <c r="A7" s="38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281</v>
      </c>
      <c r="G7" s="4">
        <f>(130*200+1500*80)/10000</f>
        <v>14.6</v>
      </c>
      <c r="H7" s="38" t="s">
        <v>16</v>
      </c>
      <c r="I7" s="38" t="s">
        <v>280</v>
      </c>
    </row>
    <row r="8" spans="1:9" ht="33">
      <c r="A8" s="38">
        <v>6</v>
      </c>
      <c r="B8" s="48" t="s">
        <v>33</v>
      </c>
      <c r="C8" s="1" t="s">
        <v>34</v>
      </c>
      <c r="D8" s="1" t="s">
        <v>35</v>
      </c>
      <c r="E8" s="1" t="s">
        <v>88</v>
      </c>
      <c r="F8" s="1" t="s">
        <v>14</v>
      </c>
      <c r="G8" s="2" t="s">
        <v>15</v>
      </c>
      <c r="H8" s="1" t="s">
        <v>16</v>
      </c>
      <c r="I8" s="1" t="s">
        <v>36</v>
      </c>
    </row>
    <row r="9" spans="1:9" ht="33">
      <c r="A9" s="38">
        <v>7</v>
      </c>
      <c r="B9" s="47"/>
      <c r="C9" s="1" t="s">
        <v>37</v>
      </c>
      <c r="D9" s="1" t="s">
        <v>38</v>
      </c>
      <c r="E9" s="1" t="s">
        <v>88</v>
      </c>
      <c r="F9" s="1" t="s">
        <v>14</v>
      </c>
      <c r="G9" s="2">
        <v>30</v>
      </c>
      <c r="H9" s="1" t="s">
        <v>16</v>
      </c>
      <c r="I9" s="1" t="s">
        <v>39</v>
      </c>
    </row>
    <row r="10" spans="1:9" s="12" customFormat="1" ht="33">
      <c r="A10" s="38">
        <v>8</v>
      </c>
      <c r="B10" s="49" t="s">
        <v>40</v>
      </c>
      <c r="C10" s="30" t="s">
        <v>43</v>
      </c>
      <c r="D10" s="3" t="s">
        <v>44</v>
      </c>
      <c r="E10" s="3" t="s">
        <v>94</v>
      </c>
      <c r="F10" s="3" t="s">
        <v>198</v>
      </c>
      <c r="G10" s="2">
        <f>3.5*530/100</f>
        <v>18.55</v>
      </c>
      <c r="H10" s="3" t="s">
        <v>16</v>
      </c>
      <c r="I10" s="3" t="s">
        <v>45</v>
      </c>
    </row>
    <row r="11" spans="1:9" ht="33">
      <c r="A11" s="38">
        <v>9</v>
      </c>
      <c r="B11" s="49"/>
      <c r="C11" s="1" t="s">
        <v>46</v>
      </c>
      <c r="D11" s="1" t="s">
        <v>47</v>
      </c>
      <c r="E11" s="1" t="s">
        <v>176</v>
      </c>
      <c r="F11" s="1" t="s">
        <v>95</v>
      </c>
      <c r="G11" s="2">
        <v>5.3</v>
      </c>
      <c r="H11" s="1" t="s">
        <v>16</v>
      </c>
      <c r="I11" s="1" t="s">
        <v>50</v>
      </c>
    </row>
    <row r="12" spans="1:9" ht="33">
      <c r="A12" s="38">
        <v>10</v>
      </c>
      <c r="B12" s="49"/>
      <c r="C12" s="31" t="s">
        <v>169</v>
      </c>
      <c r="D12" s="1" t="s">
        <v>170</v>
      </c>
      <c r="E12" s="1" t="s">
        <v>177</v>
      </c>
      <c r="F12" s="1" t="s">
        <v>200</v>
      </c>
      <c r="G12" s="2">
        <v>18.600000000000001</v>
      </c>
      <c r="H12" s="1" t="s">
        <v>16</v>
      </c>
      <c r="I12" s="1" t="s">
        <v>171</v>
      </c>
    </row>
    <row r="13" spans="1:9" s="14" customFormat="1" ht="33">
      <c r="A13" s="38">
        <v>11</v>
      </c>
      <c r="B13" s="49" t="s">
        <v>51</v>
      </c>
      <c r="C13" s="32" t="s">
        <v>194</v>
      </c>
      <c r="D13" s="28" t="s">
        <v>195</v>
      </c>
      <c r="E13" s="28" t="s">
        <v>199</v>
      </c>
      <c r="F13" s="28" t="s">
        <v>201</v>
      </c>
      <c r="G13" s="4">
        <f>1500*20/10000</f>
        <v>3</v>
      </c>
      <c r="H13" s="3" t="s">
        <v>196</v>
      </c>
      <c r="I13" s="28" t="s">
        <v>197</v>
      </c>
    </row>
    <row r="14" spans="1:9" ht="33">
      <c r="A14" s="38">
        <v>12</v>
      </c>
      <c r="B14" s="49"/>
      <c r="C14" s="32" t="s">
        <v>58</v>
      </c>
      <c r="D14" s="1" t="s">
        <v>59</v>
      </c>
      <c r="E14" s="1" t="s">
        <v>96</v>
      </c>
      <c r="F14" s="1" t="s">
        <v>202</v>
      </c>
      <c r="G14" s="2">
        <f>(200*1870)/10000</f>
        <v>37.4</v>
      </c>
      <c r="H14" s="1" t="s">
        <v>16</v>
      </c>
      <c r="I14" s="1" t="s">
        <v>55</v>
      </c>
    </row>
    <row r="15" spans="1:9" s="13" customFormat="1" ht="69.75" customHeight="1">
      <c r="A15" s="38">
        <v>13</v>
      </c>
      <c r="B15" s="49"/>
      <c r="C15" s="33" t="s">
        <v>64</v>
      </c>
      <c r="D15" s="3" t="s">
        <v>65</v>
      </c>
      <c r="E15" s="3" t="s">
        <v>203</v>
      </c>
      <c r="F15" s="3" t="s">
        <v>204</v>
      </c>
      <c r="G15" s="2">
        <v>15.5</v>
      </c>
      <c r="H15" s="3" t="s">
        <v>16</v>
      </c>
      <c r="I15" s="28" t="s">
        <v>66</v>
      </c>
    </row>
    <row r="16" spans="1:9" ht="33">
      <c r="A16" s="38">
        <v>14</v>
      </c>
      <c r="B16" s="49"/>
      <c r="C16" s="25" t="s">
        <v>67</v>
      </c>
      <c r="D16" s="1" t="s">
        <v>68</v>
      </c>
      <c r="E16" s="1" t="s">
        <v>97</v>
      </c>
      <c r="F16" s="1" t="s">
        <v>98</v>
      </c>
      <c r="G16" s="2">
        <v>7.2</v>
      </c>
      <c r="H16" s="1" t="s">
        <v>16</v>
      </c>
      <c r="I16" s="1" t="s">
        <v>70</v>
      </c>
    </row>
    <row r="17" spans="1:9" s="13" customFormat="1" ht="33">
      <c r="A17" s="38">
        <v>15</v>
      </c>
      <c r="B17" s="49"/>
      <c r="C17" s="33" t="s">
        <v>56</v>
      </c>
      <c r="D17" s="3" t="s">
        <v>57</v>
      </c>
      <c r="E17" s="3" t="s">
        <v>205</v>
      </c>
      <c r="F17" s="3" t="s">
        <v>206</v>
      </c>
      <c r="G17" s="2">
        <f>(100*500)/10000</f>
        <v>5</v>
      </c>
      <c r="H17" s="3" t="s">
        <v>16</v>
      </c>
      <c r="I17" s="28" t="s">
        <v>55</v>
      </c>
    </row>
    <row r="18" spans="1:9" s="13" customFormat="1" ht="74.25" customHeight="1">
      <c r="A18" s="38">
        <v>16</v>
      </c>
      <c r="B18" s="49"/>
      <c r="C18" s="33" t="s">
        <v>191</v>
      </c>
      <c r="D18" s="3" t="s">
        <v>192</v>
      </c>
      <c r="E18" s="3" t="s">
        <v>207</v>
      </c>
      <c r="F18" s="3" t="s">
        <v>208</v>
      </c>
      <c r="G18" s="4">
        <f>(100*650+10000)/10000</f>
        <v>7.5</v>
      </c>
      <c r="H18" s="3" t="s">
        <v>193</v>
      </c>
      <c r="I18" s="28" t="s">
        <v>55</v>
      </c>
    </row>
    <row r="19" spans="1:9" s="13" customFormat="1" ht="64.5" customHeight="1">
      <c r="A19" s="38">
        <v>17</v>
      </c>
      <c r="B19" s="49"/>
      <c r="C19" s="33" t="s">
        <v>61</v>
      </c>
      <c r="D19" s="3" t="s">
        <v>62</v>
      </c>
      <c r="E19" s="3" t="s">
        <v>209</v>
      </c>
      <c r="F19" s="3" t="s">
        <v>210</v>
      </c>
      <c r="G19" s="2">
        <f>760/100</f>
        <v>7.6</v>
      </c>
      <c r="H19" s="3" t="s">
        <v>16</v>
      </c>
      <c r="I19" s="28" t="s">
        <v>63</v>
      </c>
    </row>
    <row r="20" spans="1:9" ht="16.5">
      <c r="A20" s="41" t="s">
        <v>74</v>
      </c>
      <c r="B20" s="42"/>
      <c r="C20" s="42"/>
      <c r="D20" s="43"/>
      <c r="E20" s="1" t="s">
        <v>15</v>
      </c>
      <c r="F20" s="1" t="s">
        <v>15</v>
      </c>
      <c r="G20" s="2">
        <f>SUM(G4:G19)</f>
        <v>221.60999999999999</v>
      </c>
      <c r="H20" s="1" t="s">
        <v>15</v>
      </c>
      <c r="I20" s="1" t="s">
        <v>15</v>
      </c>
    </row>
    <row r="21" spans="1:9" ht="16.5">
      <c r="F21" s="7"/>
    </row>
    <row r="22" spans="1:9">
      <c r="B22" s="21" t="s">
        <v>190</v>
      </c>
      <c r="C22">
        <f>316*200+1445*150</f>
        <v>279950</v>
      </c>
    </row>
    <row r="23" spans="1:9">
      <c r="C23">
        <f>3.5*520*100</f>
        <v>182000</v>
      </c>
    </row>
    <row r="24" spans="1:9">
      <c r="C24">
        <f>1.5*109+2*183</f>
        <v>529.5</v>
      </c>
      <c r="D24">
        <f>C24*100</f>
        <v>52950</v>
      </c>
    </row>
    <row r="25" spans="1:9">
      <c r="C25">
        <f>3180*100</f>
        <v>318000</v>
      </c>
    </row>
    <row r="26" spans="1:9">
      <c r="C26">
        <f>425*20+50000</f>
        <v>58500</v>
      </c>
    </row>
    <row r="27" spans="1:9">
      <c r="C27" s="21">
        <f>360*200</f>
        <v>72000</v>
      </c>
    </row>
  </sheetData>
  <mergeCells count="6">
    <mergeCell ref="A1:I1"/>
    <mergeCell ref="A20:D20"/>
    <mergeCell ref="B5:B6"/>
    <mergeCell ref="B8:B9"/>
    <mergeCell ref="B10:B12"/>
    <mergeCell ref="B13:B19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70" zoomScaleNormal="70" workbookViewId="0">
      <selection activeCell="F18" sqref="F18"/>
    </sheetView>
  </sheetViews>
  <sheetFormatPr defaultColWidth="9" defaultRowHeight="13.5"/>
  <cols>
    <col min="1" max="1" width="5.875" customWidth="1"/>
    <col min="2" max="2" width="12.375" customWidth="1"/>
    <col min="3" max="3" width="11.375" customWidth="1"/>
    <col min="4" max="4" width="19.875" customWidth="1"/>
    <col min="5" max="5" width="20.75" customWidth="1"/>
    <col min="6" max="6" width="40.125" customWidth="1"/>
    <col min="7" max="7" width="19.5" style="22" customWidth="1"/>
    <col min="8" max="8" width="22.875" customWidth="1"/>
    <col min="9" max="9" width="57.75" customWidth="1"/>
  </cols>
  <sheetData>
    <row r="1" spans="1:9" ht="21">
      <c r="A1" s="39" t="s">
        <v>99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1">
        <v>1</v>
      </c>
      <c r="B3" s="26" t="s">
        <v>10</v>
      </c>
      <c r="C3" s="1" t="s">
        <v>11</v>
      </c>
      <c r="D3" s="1" t="s">
        <v>12</v>
      </c>
      <c r="E3" s="1" t="s">
        <v>100</v>
      </c>
      <c r="F3" s="1" t="s">
        <v>14</v>
      </c>
      <c r="G3" s="2" t="s">
        <v>15</v>
      </c>
      <c r="H3" s="1" t="s">
        <v>16</v>
      </c>
      <c r="I3" s="1" t="s">
        <v>17</v>
      </c>
    </row>
    <row r="4" spans="1:9" ht="49.5">
      <c r="A4" s="38">
        <v>2</v>
      </c>
      <c r="B4" s="1" t="s">
        <v>18</v>
      </c>
      <c r="C4" s="1" t="s">
        <v>19</v>
      </c>
      <c r="D4" s="1" t="s">
        <v>20</v>
      </c>
      <c r="E4" s="1" t="s">
        <v>101</v>
      </c>
      <c r="F4" s="1" t="s">
        <v>102</v>
      </c>
      <c r="G4" s="2">
        <f>0.06*9</f>
        <v>0.54</v>
      </c>
      <c r="H4" s="1" t="s">
        <v>16</v>
      </c>
      <c r="I4" s="1" t="s">
        <v>23</v>
      </c>
    </row>
    <row r="5" spans="1:9" ht="49.5">
      <c r="A5" s="38">
        <v>3</v>
      </c>
      <c r="B5" s="48" t="s">
        <v>24</v>
      </c>
      <c r="C5" s="1" t="s">
        <v>25</v>
      </c>
      <c r="D5" s="1" t="s">
        <v>26</v>
      </c>
      <c r="E5" s="1" t="s">
        <v>103</v>
      </c>
      <c r="F5" s="1" t="s">
        <v>180</v>
      </c>
      <c r="G5" s="2">
        <v>23</v>
      </c>
      <c r="H5" s="1" t="s">
        <v>16</v>
      </c>
      <c r="I5" s="1" t="s">
        <v>28</v>
      </c>
    </row>
    <row r="6" spans="1:9" ht="33">
      <c r="A6" s="38">
        <v>4</v>
      </c>
      <c r="B6" s="47"/>
      <c r="C6" s="1" t="s">
        <v>29</v>
      </c>
      <c r="D6" s="1" t="s">
        <v>30</v>
      </c>
      <c r="E6" s="1" t="s">
        <v>93</v>
      </c>
      <c r="F6" s="11" t="s">
        <v>184</v>
      </c>
      <c r="G6" s="2">
        <v>32.81</v>
      </c>
      <c r="H6" s="1" t="s">
        <v>16</v>
      </c>
      <c r="I6" s="1" t="s">
        <v>32</v>
      </c>
    </row>
    <row r="7" spans="1:9" ht="33">
      <c r="A7" s="38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282</v>
      </c>
      <c r="G7" s="4">
        <f>(50*200+1800*80)/10000</f>
        <v>15.4</v>
      </c>
      <c r="H7" s="38" t="s">
        <v>16</v>
      </c>
      <c r="I7" s="38" t="s">
        <v>280</v>
      </c>
    </row>
    <row r="8" spans="1:9" ht="33">
      <c r="A8" s="38">
        <v>6</v>
      </c>
      <c r="B8" s="48" t="s">
        <v>33</v>
      </c>
      <c r="C8" s="1" t="s">
        <v>34</v>
      </c>
      <c r="D8" s="1" t="s">
        <v>35</v>
      </c>
      <c r="E8" s="1" t="s">
        <v>104</v>
      </c>
      <c r="F8" s="1" t="s">
        <v>14</v>
      </c>
      <c r="G8" s="2" t="s">
        <v>15</v>
      </c>
      <c r="H8" s="1" t="s">
        <v>16</v>
      </c>
      <c r="I8" s="1" t="s">
        <v>36</v>
      </c>
    </row>
    <row r="9" spans="1:9" ht="33">
      <c r="A9" s="38">
        <v>7</v>
      </c>
      <c r="B9" s="47"/>
      <c r="C9" s="1" t="s">
        <v>37</v>
      </c>
      <c r="D9" s="1" t="s">
        <v>38</v>
      </c>
      <c r="E9" s="1" t="s">
        <v>104</v>
      </c>
      <c r="F9" s="1" t="s">
        <v>14</v>
      </c>
      <c r="G9" s="2">
        <v>30</v>
      </c>
      <c r="H9" s="1" t="s">
        <v>16</v>
      </c>
      <c r="I9" s="1" t="s">
        <v>39</v>
      </c>
    </row>
    <row r="10" spans="1:9" ht="33">
      <c r="A10" s="38">
        <v>8</v>
      </c>
      <c r="B10" s="48" t="s">
        <v>40</v>
      </c>
      <c r="C10" s="31" t="s">
        <v>169</v>
      </c>
      <c r="D10" s="1" t="s">
        <v>170</v>
      </c>
      <c r="E10" s="1" t="s">
        <v>105</v>
      </c>
      <c r="F10" s="1" t="s">
        <v>217</v>
      </c>
      <c r="G10" s="2">
        <f>6660/100</f>
        <v>66.599999999999994</v>
      </c>
      <c r="H10" s="1" t="s">
        <v>16</v>
      </c>
      <c r="I10" s="1" t="s">
        <v>171</v>
      </c>
    </row>
    <row r="11" spans="1:9" ht="33">
      <c r="A11" s="38">
        <v>9</v>
      </c>
      <c r="B11" s="47"/>
      <c r="C11" s="1" t="s">
        <v>46</v>
      </c>
      <c r="D11" s="1" t="s">
        <v>47</v>
      </c>
      <c r="E11" s="1" t="s">
        <v>106</v>
      </c>
      <c r="F11" s="1" t="s">
        <v>107</v>
      </c>
      <c r="G11" s="2">
        <v>2.2799999999999998</v>
      </c>
      <c r="H11" s="1" t="s">
        <v>16</v>
      </c>
      <c r="I11" s="1" t="s">
        <v>50</v>
      </c>
    </row>
    <row r="12" spans="1:9" ht="33">
      <c r="A12" s="38">
        <v>10</v>
      </c>
      <c r="B12" s="48" t="s">
        <v>51</v>
      </c>
      <c r="C12" s="31" t="s">
        <v>58</v>
      </c>
      <c r="D12" s="1" t="s">
        <v>59</v>
      </c>
      <c r="E12" s="1" t="s">
        <v>263</v>
      </c>
      <c r="F12" s="1" t="s">
        <v>216</v>
      </c>
      <c r="G12" s="2">
        <f>(500*200)/10000</f>
        <v>10</v>
      </c>
      <c r="H12" s="1" t="s">
        <v>16</v>
      </c>
      <c r="I12" s="1" t="s">
        <v>55</v>
      </c>
    </row>
    <row r="13" spans="1:9" ht="33">
      <c r="A13" s="38">
        <v>11</v>
      </c>
      <c r="B13" s="46"/>
      <c r="C13" s="1" t="s">
        <v>64</v>
      </c>
      <c r="D13" s="1" t="s">
        <v>65</v>
      </c>
      <c r="E13" s="1" t="s">
        <v>108</v>
      </c>
      <c r="F13" s="1" t="s">
        <v>109</v>
      </c>
      <c r="G13" s="2">
        <v>5</v>
      </c>
      <c r="H13" s="1" t="s">
        <v>16</v>
      </c>
      <c r="I13" s="1" t="s">
        <v>66</v>
      </c>
    </row>
    <row r="14" spans="1:9" ht="33">
      <c r="A14" s="38">
        <v>12</v>
      </c>
      <c r="B14" s="46"/>
      <c r="C14" s="1" t="s">
        <v>67</v>
      </c>
      <c r="D14" s="1" t="s">
        <v>68</v>
      </c>
      <c r="E14" s="1" t="s">
        <v>110</v>
      </c>
      <c r="F14" s="1" t="s">
        <v>111</v>
      </c>
      <c r="G14" s="2">
        <v>12</v>
      </c>
      <c r="H14" s="1" t="s">
        <v>16</v>
      </c>
      <c r="I14" s="1" t="s">
        <v>70</v>
      </c>
    </row>
    <row r="15" spans="1:9" s="13" customFormat="1" ht="33">
      <c r="A15" s="38">
        <v>13</v>
      </c>
      <c r="B15" s="46"/>
      <c r="C15" s="33" t="s">
        <v>56</v>
      </c>
      <c r="D15" s="3" t="s">
        <v>57</v>
      </c>
      <c r="E15" s="3" t="s">
        <v>218</v>
      </c>
      <c r="F15" s="3" t="s">
        <v>219</v>
      </c>
      <c r="G15" s="2">
        <f>(310*100)/10000</f>
        <v>3.1</v>
      </c>
      <c r="H15" s="3" t="s">
        <v>16</v>
      </c>
      <c r="I15" s="28" t="s">
        <v>55</v>
      </c>
    </row>
    <row r="16" spans="1:9" s="13" customFormat="1" ht="74.25" customHeight="1">
      <c r="A16" s="38">
        <v>14</v>
      </c>
      <c r="B16" s="46"/>
      <c r="C16" s="35" t="s">
        <v>213</v>
      </c>
      <c r="D16" s="26" t="s">
        <v>214</v>
      </c>
      <c r="E16" s="27" t="s">
        <v>215</v>
      </c>
      <c r="F16" s="26" t="s">
        <v>220</v>
      </c>
      <c r="G16" s="34">
        <f>(98*2*2000+38*2*2000)/10000</f>
        <v>54.4</v>
      </c>
      <c r="H16" s="26" t="s">
        <v>212</v>
      </c>
      <c r="I16" s="26" t="s">
        <v>55</v>
      </c>
    </row>
    <row r="17" spans="1:9" s="13" customFormat="1" ht="33">
      <c r="A17" s="38">
        <v>15</v>
      </c>
      <c r="B17" s="47"/>
      <c r="C17" s="29" t="s">
        <v>52</v>
      </c>
      <c r="D17" s="3" t="s">
        <v>53</v>
      </c>
      <c r="E17" s="3" t="s">
        <v>221</v>
      </c>
      <c r="F17" s="3" t="s">
        <v>222</v>
      </c>
      <c r="G17" s="2">
        <v>4.0999999999999996</v>
      </c>
      <c r="H17" s="3" t="s">
        <v>16</v>
      </c>
      <c r="I17" s="28" t="s">
        <v>55</v>
      </c>
    </row>
    <row r="18" spans="1:9" ht="16.5">
      <c r="A18" s="1" t="s">
        <v>74</v>
      </c>
      <c r="B18" s="1"/>
      <c r="C18" s="1"/>
      <c r="D18" s="1"/>
      <c r="E18" s="1" t="s">
        <v>15</v>
      </c>
      <c r="F18" s="1" t="s">
        <v>15</v>
      </c>
      <c r="G18" s="2">
        <f>SUM(G4:G17)</f>
        <v>259.23</v>
      </c>
      <c r="H18" s="1" t="s">
        <v>15</v>
      </c>
      <c r="I18" s="1" t="s">
        <v>15</v>
      </c>
    </row>
    <row r="19" spans="1:9">
      <c r="G19" s="23"/>
    </row>
    <row r="20" spans="1:9">
      <c r="D20">
        <f>200*377+1685*150</f>
        <v>328150</v>
      </c>
      <c r="G20" s="23"/>
    </row>
    <row r="21" spans="1:9">
      <c r="D21">
        <f>7304*100</f>
        <v>730400</v>
      </c>
    </row>
    <row r="22" spans="1:9">
      <c r="D22">
        <f>2*114*100</f>
        <v>22800</v>
      </c>
    </row>
    <row r="23" spans="1:9">
      <c r="D23">
        <f>213*20+50000</f>
        <v>54260</v>
      </c>
    </row>
    <row r="24" spans="1:9">
      <c r="D24">
        <f>200*600</f>
        <v>120000</v>
      </c>
    </row>
  </sheetData>
  <mergeCells count="5">
    <mergeCell ref="A1:I1"/>
    <mergeCell ref="B5:B6"/>
    <mergeCell ref="B8:B9"/>
    <mergeCell ref="B10:B11"/>
    <mergeCell ref="B12:B17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70" zoomScaleNormal="70" workbookViewId="0">
      <selection activeCell="E23" sqref="E23"/>
    </sheetView>
  </sheetViews>
  <sheetFormatPr defaultColWidth="8.875" defaultRowHeight="13.5"/>
  <cols>
    <col min="1" max="1" width="5.5" style="9" customWidth="1"/>
    <col min="2" max="2" width="11.75" style="9" customWidth="1"/>
    <col min="3" max="3" width="20.375" style="9" customWidth="1"/>
    <col min="4" max="4" width="17.25" style="9" customWidth="1"/>
    <col min="5" max="5" width="19.75" style="9" customWidth="1"/>
    <col min="6" max="6" width="35.25" style="9" customWidth="1"/>
    <col min="7" max="7" width="15.25" style="10" customWidth="1"/>
    <col min="8" max="8" width="26.875" style="24" customWidth="1"/>
    <col min="9" max="9" width="50.5" style="9" customWidth="1"/>
    <col min="10" max="16384" width="8.875" style="9"/>
  </cols>
  <sheetData>
    <row r="1" spans="1:9" ht="21">
      <c r="A1" s="39" t="s">
        <v>112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1" t="s">
        <v>8</v>
      </c>
      <c r="I2" s="1" t="s">
        <v>9</v>
      </c>
    </row>
    <row r="3" spans="1:9" ht="33">
      <c r="A3" s="1">
        <v>1</v>
      </c>
      <c r="B3" s="26" t="s">
        <v>10</v>
      </c>
      <c r="C3" s="1" t="s">
        <v>11</v>
      </c>
      <c r="D3" s="1" t="s">
        <v>12</v>
      </c>
      <c r="E3" s="1" t="s">
        <v>113</v>
      </c>
      <c r="F3" s="1" t="s">
        <v>14</v>
      </c>
      <c r="G3" s="2" t="s">
        <v>15</v>
      </c>
      <c r="H3" s="11" t="s">
        <v>16</v>
      </c>
      <c r="I3" s="1" t="s">
        <v>17</v>
      </c>
    </row>
    <row r="4" spans="1:9" ht="49.5">
      <c r="A4" s="38">
        <v>2</v>
      </c>
      <c r="B4" s="3" t="s">
        <v>18</v>
      </c>
      <c r="C4" s="30" t="s">
        <v>19</v>
      </c>
      <c r="D4" s="3" t="s">
        <v>20</v>
      </c>
      <c r="E4" s="3" t="s">
        <v>114</v>
      </c>
      <c r="F4" s="3" t="s">
        <v>90</v>
      </c>
      <c r="G4" s="2">
        <f>0.06*6</f>
        <v>0.36</v>
      </c>
      <c r="H4" s="6" t="s">
        <v>16</v>
      </c>
      <c r="I4" s="1" t="s">
        <v>23</v>
      </c>
    </row>
    <row r="5" spans="1:9" ht="49.5">
      <c r="A5" s="38">
        <v>3</v>
      </c>
      <c r="B5" s="46" t="s">
        <v>24</v>
      </c>
      <c r="C5" s="5" t="s">
        <v>25</v>
      </c>
      <c r="D5" s="3" t="s">
        <v>26</v>
      </c>
      <c r="E5" s="3" t="s">
        <v>115</v>
      </c>
      <c r="F5" s="3" t="s">
        <v>179</v>
      </c>
      <c r="G5" s="2">
        <v>33</v>
      </c>
      <c r="H5" s="6" t="s">
        <v>16</v>
      </c>
      <c r="I5" s="1" t="s">
        <v>28</v>
      </c>
    </row>
    <row r="6" spans="1:9" ht="33">
      <c r="A6" s="38">
        <v>4</v>
      </c>
      <c r="B6" s="47"/>
      <c r="C6" s="1" t="s">
        <v>29</v>
      </c>
      <c r="D6" s="1" t="s">
        <v>30</v>
      </c>
      <c r="E6" s="6" t="s">
        <v>93</v>
      </c>
      <c r="F6" s="6" t="s">
        <v>185</v>
      </c>
      <c r="G6" s="2">
        <v>25.28</v>
      </c>
      <c r="H6" s="6" t="s">
        <v>16</v>
      </c>
      <c r="I6" s="1" t="s">
        <v>32</v>
      </c>
    </row>
    <row r="7" spans="1:9" ht="33">
      <c r="A7" s="38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283</v>
      </c>
      <c r="G7" s="4">
        <f>(160*200+1300*80)/10000</f>
        <v>13.6</v>
      </c>
      <c r="H7" s="38" t="s">
        <v>16</v>
      </c>
      <c r="I7" s="38" t="s">
        <v>280</v>
      </c>
    </row>
    <row r="8" spans="1:9" ht="33">
      <c r="A8" s="38">
        <v>6</v>
      </c>
      <c r="B8" s="48" t="s">
        <v>33</v>
      </c>
      <c r="C8" s="1" t="s">
        <v>34</v>
      </c>
      <c r="D8" s="1" t="s">
        <v>35</v>
      </c>
      <c r="E8" s="1" t="s">
        <v>13</v>
      </c>
      <c r="F8" s="1" t="s">
        <v>14</v>
      </c>
      <c r="G8" s="2" t="s">
        <v>15</v>
      </c>
      <c r="H8" s="6" t="s">
        <v>16</v>
      </c>
      <c r="I8" s="1" t="s">
        <v>36</v>
      </c>
    </row>
    <row r="9" spans="1:9" ht="33">
      <c r="A9" s="38">
        <v>7</v>
      </c>
      <c r="B9" s="47"/>
      <c r="C9" s="1" t="s">
        <v>37</v>
      </c>
      <c r="D9" s="1" t="s">
        <v>38</v>
      </c>
      <c r="E9" s="1" t="s">
        <v>13</v>
      </c>
      <c r="F9" s="1" t="s">
        <v>14</v>
      </c>
      <c r="G9" s="2">
        <v>20</v>
      </c>
      <c r="H9" s="6" t="s">
        <v>16</v>
      </c>
      <c r="I9" s="1" t="s">
        <v>39</v>
      </c>
    </row>
    <row r="10" spans="1:9" ht="33">
      <c r="A10" s="38">
        <v>8</v>
      </c>
      <c r="B10" s="48" t="s">
        <v>40</v>
      </c>
      <c r="C10" s="31" t="s">
        <v>43</v>
      </c>
      <c r="D10" s="1" t="s">
        <v>44</v>
      </c>
      <c r="E10" s="1" t="s">
        <v>116</v>
      </c>
      <c r="F10" s="1" t="s">
        <v>223</v>
      </c>
      <c r="G10" s="2">
        <f>3.5*260/100</f>
        <v>9.1</v>
      </c>
      <c r="H10" s="6" t="s">
        <v>16</v>
      </c>
      <c r="I10" s="1" t="s">
        <v>45</v>
      </c>
    </row>
    <row r="11" spans="1:9" ht="33">
      <c r="A11" s="38">
        <v>9</v>
      </c>
      <c r="B11" s="46"/>
      <c r="C11" s="1" t="s">
        <v>46</v>
      </c>
      <c r="D11" s="1" t="s">
        <v>47</v>
      </c>
      <c r="E11" s="6" t="s">
        <v>117</v>
      </c>
      <c r="F11" s="6" t="s">
        <v>118</v>
      </c>
      <c r="G11" s="2">
        <f>(2*312*100+1.5*417*100)/10000</f>
        <v>12.494999999999999</v>
      </c>
      <c r="H11" s="6" t="s">
        <v>16</v>
      </c>
      <c r="I11" s="1" t="s">
        <v>50</v>
      </c>
    </row>
    <row r="12" spans="1:9" ht="33">
      <c r="A12" s="38">
        <v>10</v>
      </c>
      <c r="B12" s="47"/>
      <c r="C12" s="31" t="s">
        <v>169</v>
      </c>
      <c r="D12" s="28" t="s">
        <v>170</v>
      </c>
      <c r="E12" s="28" t="s">
        <v>178</v>
      </c>
      <c r="F12" s="28" t="s">
        <v>224</v>
      </c>
      <c r="G12" s="2">
        <f>3370/100</f>
        <v>33.700000000000003</v>
      </c>
      <c r="H12" s="11" t="s">
        <v>16</v>
      </c>
      <c r="I12" s="28" t="s">
        <v>171</v>
      </c>
    </row>
    <row r="13" spans="1:9" ht="33">
      <c r="A13" s="38">
        <v>11</v>
      </c>
      <c r="B13" s="48" t="s">
        <v>51</v>
      </c>
      <c r="C13" s="30" t="s">
        <v>58</v>
      </c>
      <c r="D13" s="3" t="s">
        <v>59</v>
      </c>
      <c r="E13" s="3" t="s">
        <v>119</v>
      </c>
      <c r="F13" s="3" t="s">
        <v>226</v>
      </c>
      <c r="G13" s="2">
        <f>(200*560)/10000</f>
        <v>11.2</v>
      </c>
      <c r="H13" s="6" t="s">
        <v>16</v>
      </c>
      <c r="I13" s="1" t="s">
        <v>55</v>
      </c>
    </row>
    <row r="14" spans="1:9" ht="33">
      <c r="A14" s="38">
        <v>12</v>
      </c>
      <c r="B14" s="46"/>
      <c r="C14" s="3" t="s">
        <v>64</v>
      </c>
      <c r="D14" s="3" t="s">
        <v>65</v>
      </c>
      <c r="E14" s="3" t="s">
        <v>122</v>
      </c>
      <c r="F14" s="3" t="s">
        <v>123</v>
      </c>
      <c r="G14" s="2">
        <v>7</v>
      </c>
      <c r="H14" s="6" t="s">
        <v>16</v>
      </c>
      <c r="I14" s="1" t="s">
        <v>66</v>
      </c>
    </row>
    <row r="15" spans="1:9" ht="33">
      <c r="A15" s="38">
        <v>13</v>
      </c>
      <c r="B15" s="46"/>
      <c r="C15" s="31" t="s">
        <v>67</v>
      </c>
      <c r="D15" s="1" t="s">
        <v>68</v>
      </c>
      <c r="E15" s="1" t="s">
        <v>121</v>
      </c>
      <c r="F15" s="1" t="s">
        <v>225</v>
      </c>
      <c r="G15" s="2">
        <f>200*1340/10000</f>
        <v>26.8</v>
      </c>
      <c r="H15" s="6" t="s">
        <v>16</v>
      </c>
      <c r="I15" s="1" t="s">
        <v>70</v>
      </c>
    </row>
    <row r="16" spans="1:9" ht="33">
      <c r="A16" s="38">
        <v>14</v>
      </c>
      <c r="B16" s="46"/>
      <c r="C16" s="3" t="s">
        <v>71</v>
      </c>
      <c r="D16" s="3" t="s">
        <v>72</v>
      </c>
      <c r="E16" s="3" t="s">
        <v>116</v>
      </c>
      <c r="F16" s="3" t="s">
        <v>228</v>
      </c>
      <c r="G16" s="2">
        <f>100*100/10000</f>
        <v>1</v>
      </c>
      <c r="H16" s="6" t="s">
        <v>16</v>
      </c>
      <c r="I16" s="1" t="s">
        <v>73</v>
      </c>
    </row>
    <row r="17" spans="1:9" ht="33">
      <c r="A17" s="38">
        <v>15</v>
      </c>
      <c r="B17" s="46"/>
      <c r="C17" s="3" t="s">
        <v>52</v>
      </c>
      <c r="D17" s="3" t="s">
        <v>53</v>
      </c>
      <c r="E17" s="3" t="s">
        <v>119</v>
      </c>
      <c r="F17" s="3" t="s">
        <v>120</v>
      </c>
      <c r="G17" s="2">
        <v>4.0999999999999996</v>
      </c>
      <c r="H17" s="6" t="s">
        <v>16</v>
      </c>
      <c r="I17" s="1" t="s">
        <v>55</v>
      </c>
    </row>
    <row r="18" spans="1:9" ht="33">
      <c r="A18" s="38">
        <v>16</v>
      </c>
      <c r="B18" s="47"/>
      <c r="C18" s="30" t="s">
        <v>61</v>
      </c>
      <c r="D18" s="3" t="s">
        <v>62</v>
      </c>
      <c r="E18" s="3" t="s">
        <v>119</v>
      </c>
      <c r="F18" s="3" t="s">
        <v>227</v>
      </c>
      <c r="G18" s="2">
        <f>60*490/10000</f>
        <v>2.94</v>
      </c>
      <c r="H18" s="6" t="s">
        <v>16</v>
      </c>
      <c r="I18" s="1" t="s">
        <v>63</v>
      </c>
    </row>
    <row r="19" spans="1:9" ht="16.5">
      <c r="A19" s="41" t="s">
        <v>74</v>
      </c>
      <c r="B19" s="42"/>
      <c r="C19" s="42"/>
      <c r="D19" s="43"/>
      <c r="E19" s="1" t="s">
        <v>15</v>
      </c>
      <c r="F19" s="1" t="s">
        <v>15</v>
      </c>
      <c r="G19" s="2">
        <f>SUM(G4:G18)</f>
        <v>200.57499999999999</v>
      </c>
      <c r="H19" s="11" t="s">
        <v>15</v>
      </c>
      <c r="I19" s="1" t="s">
        <v>15</v>
      </c>
    </row>
    <row r="20" spans="1:9">
      <c r="G20" s="36"/>
    </row>
    <row r="21" spans="1:9">
      <c r="C21" s="9">
        <f>18+15</f>
        <v>33</v>
      </c>
    </row>
    <row r="22" spans="1:9">
      <c r="C22" s="9">
        <f>360*200+1205*150</f>
        <v>252750</v>
      </c>
    </row>
    <row r="23" spans="1:9">
      <c r="C23" s="9">
        <f>3.5*261*100</f>
        <v>91350</v>
      </c>
    </row>
    <row r="24" spans="1:9">
      <c r="C24" s="9">
        <f>2*312*100+1.5*417*100</f>
        <v>124950</v>
      </c>
    </row>
    <row r="25" spans="1:9">
      <c r="C25" s="9">
        <f>485*20</f>
        <v>9700</v>
      </c>
    </row>
    <row r="26" spans="1:9">
      <c r="C26" s="9">
        <f>336*200</f>
        <v>67200</v>
      </c>
    </row>
    <row r="27" spans="1:9">
      <c r="C27" s="9">
        <f>14*5000</f>
        <v>70000</v>
      </c>
    </row>
    <row r="28" spans="1:9">
      <c r="C28" s="9">
        <f>3026*100</f>
        <v>302600</v>
      </c>
    </row>
  </sheetData>
  <mergeCells count="6">
    <mergeCell ref="A1:I1"/>
    <mergeCell ref="A19:D19"/>
    <mergeCell ref="B5:B6"/>
    <mergeCell ref="B8:B9"/>
    <mergeCell ref="B10:B12"/>
    <mergeCell ref="B13:B18"/>
  </mergeCells>
  <phoneticPr fontId="9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70" zoomScaleNormal="70" workbookViewId="0">
      <selection sqref="A1:I17"/>
    </sheetView>
  </sheetViews>
  <sheetFormatPr defaultColWidth="9" defaultRowHeight="13.5"/>
  <cols>
    <col min="2" max="2" width="11.625" customWidth="1"/>
    <col min="3" max="3" width="13.75" customWidth="1"/>
    <col min="4" max="4" width="22.625" customWidth="1"/>
    <col min="5" max="5" width="18.125" customWidth="1"/>
    <col min="6" max="6" width="33.625" customWidth="1"/>
    <col min="7" max="7" width="17" style="22" customWidth="1"/>
    <col min="8" max="8" width="19.625" customWidth="1"/>
    <col min="9" max="9" width="64" customWidth="1"/>
  </cols>
  <sheetData>
    <row r="1" spans="1:9" ht="21" customHeight="1">
      <c r="A1" s="39" t="s">
        <v>124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3">
        <v>1</v>
      </c>
      <c r="B3" s="26" t="s">
        <v>10</v>
      </c>
      <c r="C3" s="1" t="s">
        <v>11</v>
      </c>
      <c r="D3" s="1" t="s">
        <v>12</v>
      </c>
      <c r="E3" s="1" t="s">
        <v>13</v>
      </c>
      <c r="F3" s="1" t="s">
        <v>14</v>
      </c>
      <c r="G3" s="2" t="s">
        <v>15</v>
      </c>
      <c r="H3" s="3" t="s">
        <v>16</v>
      </c>
      <c r="I3" s="1" t="s">
        <v>17</v>
      </c>
    </row>
    <row r="4" spans="1:9" ht="33">
      <c r="A4" s="3">
        <v>2</v>
      </c>
      <c r="B4" s="3" t="s">
        <v>18</v>
      </c>
      <c r="C4" s="3" t="s">
        <v>19</v>
      </c>
      <c r="D4" s="3" t="s">
        <v>20</v>
      </c>
      <c r="E4" s="3" t="s">
        <v>126</v>
      </c>
      <c r="F4" s="3" t="s">
        <v>90</v>
      </c>
      <c r="G4" s="2">
        <f>0.06*6</f>
        <v>0.36</v>
      </c>
      <c r="H4" s="3" t="s">
        <v>16</v>
      </c>
      <c r="I4" s="1" t="s">
        <v>23</v>
      </c>
    </row>
    <row r="5" spans="1:9" ht="33">
      <c r="A5" s="3">
        <v>3</v>
      </c>
      <c r="B5" s="46" t="s">
        <v>24</v>
      </c>
      <c r="C5" s="5" t="s">
        <v>25</v>
      </c>
      <c r="D5" s="3" t="s">
        <v>26</v>
      </c>
      <c r="E5" s="3" t="s">
        <v>127</v>
      </c>
      <c r="F5" s="3" t="s">
        <v>128</v>
      </c>
      <c r="G5" s="2">
        <v>15</v>
      </c>
      <c r="H5" s="3" t="s">
        <v>16</v>
      </c>
      <c r="I5" s="1" t="s">
        <v>28</v>
      </c>
    </row>
    <row r="6" spans="1:9" ht="33">
      <c r="A6" s="3">
        <v>4</v>
      </c>
      <c r="B6" s="47"/>
      <c r="C6" s="1" t="s">
        <v>29</v>
      </c>
      <c r="D6" s="1" t="s">
        <v>30</v>
      </c>
      <c r="E6" s="6" t="s">
        <v>129</v>
      </c>
      <c r="F6" s="6" t="s">
        <v>186</v>
      </c>
      <c r="G6" s="2">
        <f>(233*200+1373*100)/10000</f>
        <v>18.39</v>
      </c>
      <c r="H6" s="3" t="s">
        <v>16</v>
      </c>
      <c r="I6" s="1" t="s">
        <v>32</v>
      </c>
    </row>
    <row r="7" spans="1:9" ht="33">
      <c r="A7" s="3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284</v>
      </c>
      <c r="G7" s="4">
        <f>(100*200+1450*80)/10000</f>
        <v>13.6</v>
      </c>
      <c r="H7" s="38" t="s">
        <v>16</v>
      </c>
      <c r="I7" s="38" t="s">
        <v>280</v>
      </c>
    </row>
    <row r="8" spans="1:9" ht="33">
      <c r="A8" s="3">
        <v>6</v>
      </c>
      <c r="B8" s="48" t="s">
        <v>33</v>
      </c>
      <c r="C8" s="1" t="s">
        <v>34</v>
      </c>
      <c r="D8" s="1" t="s">
        <v>35</v>
      </c>
      <c r="E8" s="1" t="s">
        <v>125</v>
      </c>
      <c r="F8" s="1" t="s">
        <v>14</v>
      </c>
      <c r="G8" s="2" t="s">
        <v>15</v>
      </c>
      <c r="H8" s="3" t="s">
        <v>16</v>
      </c>
      <c r="I8" s="1" t="s">
        <v>36</v>
      </c>
    </row>
    <row r="9" spans="1:9" ht="33">
      <c r="A9" s="3">
        <v>7</v>
      </c>
      <c r="B9" s="47"/>
      <c r="C9" s="1" t="s">
        <v>37</v>
      </c>
      <c r="D9" s="1" t="s">
        <v>38</v>
      </c>
      <c r="E9" s="1" t="s">
        <v>125</v>
      </c>
      <c r="F9" s="1" t="s">
        <v>14</v>
      </c>
      <c r="G9" s="2">
        <v>20</v>
      </c>
      <c r="H9" s="3" t="s">
        <v>16</v>
      </c>
      <c r="I9" s="1" t="s">
        <v>39</v>
      </c>
    </row>
    <row r="10" spans="1:9" ht="33">
      <c r="A10" s="3">
        <v>8</v>
      </c>
      <c r="B10" s="48" t="s">
        <v>40</v>
      </c>
      <c r="C10" s="31" t="s">
        <v>43</v>
      </c>
      <c r="D10" s="1" t="s">
        <v>44</v>
      </c>
      <c r="E10" s="1" t="s">
        <v>130</v>
      </c>
      <c r="F10" s="1" t="s">
        <v>229</v>
      </c>
      <c r="G10" s="2">
        <f>(3.5*240)/100</f>
        <v>8.4</v>
      </c>
      <c r="H10" s="3" t="s">
        <v>16</v>
      </c>
      <c r="I10" s="1" t="s">
        <v>45</v>
      </c>
    </row>
    <row r="11" spans="1:9" ht="33">
      <c r="A11" s="3">
        <v>9</v>
      </c>
      <c r="B11" s="46"/>
      <c r="C11" s="1" t="s">
        <v>46</v>
      </c>
      <c r="D11" s="1" t="s">
        <v>47</v>
      </c>
      <c r="E11" s="6" t="s">
        <v>48</v>
      </c>
      <c r="F11" s="6" t="s">
        <v>131</v>
      </c>
      <c r="G11" s="2">
        <f>(1.5*713+2*180)/100</f>
        <v>14.295</v>
      </c>
      <c r="H11" s="3" t="s">
        <v>16</v>
      </c>
      <c r="I11" s="1" t="s">
        <v>50</v>
      </c>
    </row>
    <row r="12" spans="1:9" ht="33">
      <c r="A12" s="3">
        <v>10</v>
      </c>
      <c r="B12" s="46"/>
      <c r="C12" s="31" t="s">
        <v>169</v>
      </c>
      <c r="D12" s="1" t="s">
        <v>170</v>
      </c>
      <c r="E12" s="1" t="s">
        <v>172</v>
      </c>
      <c r="F12" s="1" t="s">
        <v>230</v>
      </c>
      <c r="G12" s="2">
        <f>3790/100</f>
        <v>37.9</v>
      </c>
      <c r="H12" s="1" t="s">
        <v>16</v>
      </c>
      <c r="I12" s="1" t="s">
        <v>171</v>
      </c>
    </row>
    <row r="13" spans="1:9" ht="33">
      <c r="A13" s="3">
        <v>11</v>
      </c>
      <c r="B13" s="48" t="s">
        <v>51</v>
      </c>
      <c r="C13" s="33" t="s">
        <v>58</v>
      </c>
      <c r="D13" s="3" t="s">
        <v>59</v>
      </c>
      <c r="E13" s="3" t="s">
        <v>132</v>
      </c>
      <c r="F13" s="3" t="s">
        <v>231</v>
      </c>
      <c r="G13" s="2">
        <f>(1940*200)/10000</f>
        <v>38.799999999999997</v>
      </c>
      <c r="H13" s="3" t="s">
        <v>16</v>
      </c>
      <c r="I13" s="1" t="s">
        <v>55</v>
      </c>
    </row>
    <row r="14" spans="1:9" ht="33">
      <c r="A14" s="3">
        <v>12</v>
      </c>
      <c r="B14" s="46"/>
      <c r="C14" s="25" t="s">
        <v>67</v>
      </c>
      <c r="D14" s="1" t="s">
        <v>68</v>
      </c>
      <c r="E14" s="1" t="s">
        <v>133</v>
      </c>
      <c r="F14" s="1" t="s">
        <v>134</v>
      </c>
      <c r="G14" s="2">
        <f>302*200/10000</f>
        <v>6.04</v>
      </c>
      <c r="H14" s="3" t="s">
        <v>16</v>
      </c>
      <c r="I14" s="1" t="s">
        <v>70</v>
      </c>
    </row>
    <row r="15" spans="1:9" s="13" customFormat="1" ht="33">
      <c r="A15" s="3">
        <v>13</v>
      </c>
      <c r="B15" s="46"/>
      <c r="C15" s="33" t="s">
        <v>56</v>
      </c>
      <c r="D15" s="3" t="s">
        <v>57</v>
      </c>
      <c r="E15" s="3" t="s">
        <v>233</v>
      </c>
      <c r="F15" s="3" t="s">
        <v>232</v>
      </c>
      <c r="G15" s="2">
        <f>(850*100)/10000</f>
        <v>8.5</v>
      </c>
      <c r="H15" s="3" t="s">
        <v>16</v>
      </c>
      <c r="I15" s="28" t="s">
        <v>55</v>
      </c>
    </row>
    <row r="16" spans="1:9" s="13" customFormat="1" ht="74.25" customHeight="1">
      <c r="A16" s="3">
        <v>14</v>
      </c>
      <c r="B16" s="47"/>
      <c r="C16" s="33" t="s">
        <v>191</v>
      </c>
      <c r="D16" s="3" t="s">
        <v>192</v>
      </c>
      <c r="E16" s="3" t="s">
        <v>234</v>
      </c>
      <c r="F16" s="3" t="s">
        <v>235</v>
      </c>
      <c r="G16" s="4">
        <v>5.2</v>
      </c>
      <c r="H16" s="3" t="s">
        <v>193</v>
      </c>
      <c r="I16" s="28" t="s">
        <v>55</v>
      </c>
    </row>
    <row r="17" spans="1:9" ht="16.5">
      <c r="A17" s="41" t="s">
        <v>74</v>
      </c>
      <c r="B17" s="42"/>
      <c r="C17" s="42"/>
      <c r="D17" s="43"/>
      <c r="E17" s="1" t="s">
        <v>15</v>
      </c>
      <c r="F17" s="1" t="s">
        <v>15</v>
      </c>
      <c r="G17" s="2">
        <f>SUM(G4:G16)</f>
        <v>186.48499999999999</v>
      </c>
      <c r="H17" s="1" t="s">
        <v>15</v>
      </c>
      <c r="I17" s="1" t="s">
        <v>15</v>
      </c>
    </row>
  </sheetData>
  <mergeCells count="6">
    <mergeCell ref="A1:I1"/>
    <mergeCell ref="A17:D17"/>
    <mergeCell ref="B5:B6"/>
    <mergeCell ref="B8:B9"/>
    <mergeCell ref="B10:B12"/>
    <mergeCell ref="B13:B16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85" zoomScaleNormal="85" workbookViewId="0">
      <selection sqref="A1:I15"/>
    </sheetView>
  </sheetViews>
  <sheetFormatPr defaultColWidth="9" defaultRowHeight="13.5"/>
  <cols>
    <col min="1" max="1" width="5.5" customWidth="1"/>
    <col min="2" max="2" width="10" customWidth="1"/>
    <col min="3" max="3" width="15.125" customWidth="1"/>
    <col min="4" max="4" width="22.875" customWidth="1"/>
    <col min="5" max="5" width="19.875" customWidth="1"/>
    <col min="6" max="6" width="27.125" customWidth="1"/>
    <col min="7" max="7" width="19.5" style="22" customWidth="1"/>
    <col min="8" max="8" width="26.125" customWidth="1"/>
    <col min="9" max="9" width="65.25" customWidth="1"/>
  </cols>
  <sheetData>
    <row r="1" spans="1:9" ht="21">
      <c r="A1" s="39" t="s">
        <v>135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3">
        <v>1</v>
      </c>
      <c r="B3" s="26" t="s">
        <v>10</v>
      </c>
      <c r="C3" s="1" t="s">
        <v>11</v>
      </c>
      <c r="D3" s="1" t="s">
        <v>12</v>
      </c>
      <c r="E3" s="1" t="s">
        <v>136</v>
      </c>
      <c r="F3" s="1" t="s">
        <v>14</v>
      </c>
      <c r="G3" s="2" t="s">
        <v>15</v>
      </c>
      <c r="H3" s="3" t="s">
        <v>16</v>
      </c>
      <c r="I3" s="1" t="s">
        <v>17</v>
      </c>
    </row>
    <row r="4" spans="1:9" ht="33">
      <c r="A4" s="3">
        <v>2</v>
      </c>
      <c r="B4" s="3" t="s">
        <v>18</v>
      </c>
      <c r="C4" s="3" t="s">
        <v>19</v>
      </c>
      <c r="D4" s="3" t="s">
        <v>20</v>
      </c>
      <c r="E4" s="3" t="s">
        <v>137</v>
      </c>
      <c r="F4" s="3" t="s">
        <v>90</v>
      </c>
      <c r="G4" s="2">
        <f>0.06*6</f>
        <v>0.36</v>
      </c>
      <c r="H4" s="3" t="s">
        <v>16</v>
      </c>
      <c r="I4" s="1" t="s">
        <v>23</v>
      </c>
    </row>
    <row r="5" spans="1:9" ht="33">
      <c r="A5" s="3">
        <v>3</v>
      </c>
      <c r="B5" s="48" t="s">
        <v>33</v>
      </c>
      <c r="C5" s="1" t="s">
        <v>34</v>
      </c>
      <c r="D5" s="1" t="s">
        <v>35</v>
      </c>
      <c r="E5" s="1" t="s">
        <v>136</v>
      </c>
      <c r="F5" s="1" t="s">
        <v>14</v>
      </c>
      <c r="G5" s="2" t="s">
        <v>15</v>
      </c>
      <c r="H5" s="3" t="s">
        <v>16</v>
      </c>
      <c r="I5" s="1" t="s">
        <v>36</v>
      </c>
    </row>
    <row r="6" spans="1:9" ht="33">
      <c r="A6" s="3">
        <v>4</v>
      </c>
      <c r="B6" s="47"/>
      <c r="C6" s="1" t="s">
        <v>37</v>
      </c>
      <c r="D6" s="1" t="s">
        <v>38</v>
      </c>
      <c r="E6" s="1" t="s">
        <v>136</v>
      </c>
      <c r="F6" s="1" t="s">
        <v>14</v>
      </c>
      <c r="G6" s="2">
        <v>20</v>
      </c>
      <c r="H6" s="3" t="s">
        <v>16</v>
      </c>
      <c r="I6" s="1" t="s">
        <v>39</v>
      </c>
    </row>
    <row r="7" spans="1:9" ht="33">
      <c r="A7" s="3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285</v>
      </c>
      <c r="G7" s="4">
        <f>(100*200+500*80)/10000</f>
        <v>6</v>
      </c>
      <c r="H7" s="38" t="s">
        <v>16</v>
      </c>
      <c r="I7" s="38" t="s">
        <v>280</v>
      </c>
    </row>
    <row r="8" spans="1:9" ht="33">
      <c r="A8" s="3">
        <v>6</v>
      </c>
      <c r="B8" s="48" t="s">
        <v>40</v>
      </c>
      <c r="C8" s="31" t="s">
        <v>41</v>
      </c>
      <c r="D8" s="1" t="s">
        <v>42</v>
      </c>
      <c r="E8" s="3" t="s">
        <v>138</v>
      </c>
      <c r="F8" s="3" t="s">
        <v>238</v>
      </c>
      <c r="G8" s="2">
        <f>2.5*190/100</f>
        <v>4.75</v>
      </c>
      <c r="H8" s="3" t="s">
        <v>16</v>
      </c>
      <c r="I8" s="1" t="s">
        <v>236</v>
      </c>
    </row>
    <row r="9" spans="1:9" ht="33">
      <c r="A9" s="3">
        <v>7</v>
      </c>
      <c r="B9" s="47"/>
      <c r="C9" s="1" t="s">
        <v>46</v>
      </c>
      <c r="D9" s="1" t="s">
        <v>47</v>
      </c>
      <c r="E9" s="6" t="s">
        <v>139</v>
      </c>
      <c r="F9" s="6" t="s">
        <v>140</v>
      </c>
      <c r="G9" s="2">
        <f>(157*2)/100</f>
        <v>3.14</v>
      </c>
      <c r="H9" s="3" t="s">
        <v>16</v>
      </c>
      <c r="I9" s="1" t="s">
        <v>50</v>
      </c>
    </row>
    <row r="10" spans="1:9" ht="33">
      <c r="A10" s="3">
        <v>8</v>
      </c>
      <c r="B10" s="48" t="s">
        <v>51</v>
      </c>
      <c r="C10" s="30" t="s">
        <v>58</v>
      </c>
      <c r="D10" s="3" t="s">
        <v>59</v>
      </c>
      <c r="E10" s="3" t="s">
        <v>143</v>
      </c>
      <c r="F10" s="3" t="s">
        <v>240</v>
      </c>
      <c r="G10" s="2">
        <f>(530*200)/10000</f>
        <v>10.6</v>
      </c>
      <c r="H10" s="3" t="s">
        <v>16</v>
      </c>
      <c r="I10" s="28" t="s">
        <v>55</v>
      </c>
    </row>
    <row r="11" spans="1:9" s="9" customFormat="1" ht="33">
      <c r="A11" s="3">
        <v>9</v>
      </c>
      <c r="B11" s="46"/>
      <c r="C11" s="30" t="s">
        <v>64</v>
      </c>
      <c r="D11" s="3" t="s">
        <v>65</v>
      </c>
      <c r="E11" s="3" t="s">
        <v>241</v>
      </c>
      <c r="F11" s="3" t="s">
        <v>242</v>
      </c>
      <c r="G11" s="2">
        <f>5000*7/10000</f>
        <v>3.5</v>
      </c>
      <c r="H11" s="6" t="s">
        <v>16</v>
      </c>
      <c r="I11" s="28" t="s">
        <v>66</v>
      </c>
    </row>
    <row r="12" spans="1:9" ht="33">
      <c r="A12" s="3">
        <v>10</v>
      </c>
      <c r="B12" s="46"/>
      <c r="C12" s="3" t="s">
        <v>67</v>
      </c>
      <c r="D12" s="3" t="s">
        <v>68</v>
      </c>
      <c r="E12" s="3" t="s">
        <v>144</v>
      </c>
      <c r="F12" s="3" t="s">
        <v>145</v>
      </c>
      <c r="G12" s="2">
        <f>70*200/10000</f>
        <v>1.4</v>
      </c>
      <c r="H12" s="3" t="s">
        <v>16</v>
      </c>
      <c r="I12" s="28" t="s">
        <v>70</v>
      </c>
    </row>
    <row r="13" spans="1:9" ht="33">
      <c r="A13" s="3">
        <v>11</v>
      </c>
      <c r="B13" s="46"/>
      <c r="C13" s="30" t="s">
        <v>56</v>
      </c>
      <c r="D13" s="3" t="s">
        <v>57</v>
      </c>
      <c r="E13" s="3" t="s">
        <v>142</v>
      </c>
      <c r="F13" s="3" t="s">
        <v>239</v>
      </c>
      <c r="G13" s="2">
        <f>(110*100)/10000</f>
        <v>1.1000000000000001</v>
      </c>
      <c r="H13" s="3" t="s">
        <v>16</v>
      </c>
      <c r="I13" s="28" t="s">
        <v>55</v>
      </c>
    </row>
    <row r="14" spans="1:9" ht="33">
      <c r="A14" s="3">
        <v>12</v>
      </c>
      <c r="B14" s="47"/>
      <c r="C14" s="30" t="s">
        <v>52</v>
      </c>
      <c r="D14" s="3" t="s">
        <v>53</v>
      </c>
      <c r="E14" s="3" t="s">
        <v>141</v>
      </c>
      <c r="F14" s="3" t="s">
        <v>237</v>
      </c>
      <c r="G14" s="2">
        <v>4.0999999999999996</v>
      </c>
      <c r="H14" s="3" t="s">
        <v>16</v>
      </c>
      <c r="I14" s="1" t="s">
        <v>55</v>
      </c>
    </row>
    <row r="15" spans="1:9" ht="16.5">
      <c r="A15" s="41" t="s">
        <v>74</v>
      </c>
      <c r="B15" s="42"/>
      <c r="C15" s="42"/>
      <c r="D15" s="43"/>
      <c r="E15" s="1" t="s">
        <v>15</v>
      </c>
      <c r="F15" s="1" t="s">
        <v>15</v>
      </c>
      <c r="G15" s="2">
        <f>SUM(G4:G14)</f>
        <v>54.95</v>
      </c>
      <c r="H15" s="1" t="s">
        <v>15</v>
      </c>
      <c r="I15" s="1" t="s">
        <v>15</v>
      </c>
    </row>
  </sheetData>
  <mergeCells count="5">
    <mergeCell ref="A1:I1"/>
    <mergeCell ref="A15:D15"/>
    <mergeCell ref="B5:B6"/>
    <mergeCell ref="B8:B9"/>
    <mergeCell ref="B10:B14"/>
  </mergeCells>
  <phoneticPr fontId="9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70" zoomScaleNormal="70" workbookViewId="0">
      <selection activeCell="A3" sqref="A3:A14"/>
    </sheetView>
  </sheetViews>
  <sheetFormatPr defaultColWidth="9" defaultRowHeight="13.5"/>
  <cols>
    <col min="1" max="1" width="10.875" customWidth="1"/>
    <col min="2" max="2" width="14.75" customWidth="1"/>
    <col min="3" max="3" width="16.875" customWidth="1"/>
    <col min="4" max="4" width="17.25" customWidth="1"/>
    <col min="5" max="5" width="30.25" customWidth="1"/>
    <col min="6" max="6" width="44.625" customWidth="1"/>
    <col min="7" max="7" width="18.75" style="22" customWidth="1"/>
    <col min="8" max="8" width="18.5" customWidth="1"/>
    <col min="9" max="9" width="66.125" customWidth="1"/>
  </cols>
  <sheetData>
    <row r="1" spans="1:9" ht="21">
      <c r="A1" s="39" t="s">
        <v>146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3">
        <v>1</v>
      </c>
      <c r="B3" s="26" t="s">
        <v>10</v>
      </c>
      <c r="C3" s="1" t="s">
        <v>11</v>
      </c>
      <c r="D3" s="1" t="s">
        <v>12</v>
      </c>
      <c r="E3" s="1" t="s">
        <v>147</v>
      </c>
      <c r="F3" s="1" t="s">
        <v>14</v>
      </c>
      <c r="G3" s="2" t="s">
        <v>15</v>
      </c>
      <c r="H3" s="3" t="s">
        <v>16</v>
      </c>
      <c r="I3" s="1" t="s">
        <v>17</v>
      </c>
    </row>
    <row r="4" spans="1:9" ht="33">
      <c r="A4" s="3">
        <v>2</v>
      </c>
      <c r="B4" s="3" t="s">
        <v>18</v>
      </c>
      <c r="C4" s="30" t="s">
        <v>19</v>
      </c>
      <c r="D4" s="3" t="s">
        <v>20</v>
      </c>
      <c r="E4" s="3" t="s">
        <v>148</v>
      </c>
      <c r="F4" s="3" t="s">
        <v>90</v>
      </c>
      <c r="G4" s="2">
        <f>0.06*6</f>
        <v>0.36</v>
      </c>
      <c r="H4" s="3" t="s">
        <v>16</v>
      </c>
      <c r="I4" s="1" t="s">
        <v>23</v>
      </c>
    </row>
    <row r="5" spans="1:9" ht="33">
      <c r="A5" s="3">
        <v>3</v>
      </c>
      <c r="B5" s="46" t="s">
        <v>24</v>
      </c>
      <c r="C5" s="5" t="s">
        <v>25</v>
      </c>
      <c r="D5" s="3" t="s">
        <v>26</v>
      </c>
      <c r="E5" s="3" t="s">
        <v>149</v>
      </c>
      <c r="F5" s="3" t="s">
        <v>150</v>
      </c>
      <c r="G5" s="2">
        <v>15</v>
      </c>
      <c r="H5" s="3" t="s">
        <v>16</v>
      </c>
      <c r="I5" s="1" t="s">
        <v>28</v>
      </c>
    </row>
    <row r="6" spans="1:9" ht="33">
      <c r="A6" s="3">
        <v>4</v>
      </c>
      <c r="B6" s="47"/>
      <c r="C6" s="1" t="s">
        <v>29</v>
      </c>
      <c r="D6" s="1" t="s">
        <v>30</v>
      </c>
      <c r="E6" s="6" t="s">
        <v>31</v>
      </c>
      <c r="F6" s="6" t="s">
        <v>187</v>
      </c>
      <c r="G6" s="2">
        <f>(189*200+150*926)/10000</f>
        <v>17.670000000000002</v>
      </c>
      <c r="H6" s="3" t="s">
        <v>16</v>
      </c>
      <c r="I6" s="1" t="s">
        <v>32</v>
      </c>
    </row>
    <row r="7" spans="1:9" ht="33">
      <c r="A7" s="3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286</v>
      </c>
      <c r="G7" s="4">
        <f>(1000*80)/10000</f>
        <v>8</v>
      </c>
      <c r="H7" s="38" t="s">
        <v>16</v>
      </c>
      <c r="I7" s="38" t="s">
        <v>280</v>
      </c>
    </row>
    <row r="8" spans="1:9" ht="33">
      <c r="A8" s="3">
        <v>6</v>
      </c>
      <c r="B8" s="48" t="s">
        <v>33</v>
      </c>
      <c r="C8" s="1" t="s">
        <v>34</v>
      </c>
      <c r="D8" s="1" t="s">
        <v>35</v>
      </c>
      <c r="E8" s="1" t="s">
        <v>147</v>
      </c>
      <c r="F8" s="1" t="s">
        <v>14</v>
      </c>
      <c r="G8" s="2" t="s">
        <v>15</v>
      </c>
      <c r="H8" s="3" t="s">
        <v>16</v>
      </c>
      <c r="I8" s="1" t="s">
        <v>36</v>
      </c>
    </row>
    <row r="9" spans="1:9" ht="33">
      <c r="A9" s="3">
        <v>7</v>
      </c>
      <c r="B9" s="47"/>
      <c r="C9" s="1" t="s">
        <v>37</v>
      </c>
      <c r="D9" s="1" t="s">
        <v>38</v>
      </c>
      <c r="E9" s="1" t="s">
        <v>147</v>
      </c>
      <c r="F9" s="1" t="s">
        <v>14</v>
      </c>
      <c r="G9" s="2">
        <v>10</v>
      </c>
      <c r="H9" s="3" t="s">
        <v>16</v>
      </c>
      <c r="I9" s="1" t="s">
        <v>39</v>
      </c>
    </row>
    <row r="10" spans="1:9" ht="33">
      <c r="A10" s="3">
        <v>8</v>
      </c>
      <c r="B10" s="48" t="s">
        <v>40</v>
      </c>
      <c r="C10" s="31" t="s">
        <v>43</v>
      </c>
      <c r="D10" s="1" t="s">
        <v>44</v>
      </c>
      <c r="E10" s="1" t="s">
        <v>151</v>
      </c>
      <c r="F10" s="1" t="s">
        <v>243</v>
      </c>
      <c r="G10" s="2">
        <f>(5.5*1240+3.5*170)/100</f>
        <v>74.150000000000006</v>
      </c>
      <c r="H10" s="3" t="s">
        <v>16</v>
      </c>
      <c r="I10" s="1" t="s">
        <v>45</v>
      </c>
    </row>
    <row r="11" spans="1:9" ht="33">
      <c r="A11" s="3">
        <v>9</v>
      </c>
      <c r="B11" s="46"/>
      <c r="C11" s="1" t="s">
        <v>46</v>
      </c>
      <c r="D11" s="1" t="s">
        <v>47</v>
      </c>
      <c r="E11" s="6" t="s">
        <v>48</v>
      </c>
      <c r="F11" s="6" t="s">
        <v>152</v>
      </c>
      <c r="G11" s="2">
        <f>1.5*81/100</f>
        <v>1.2150000000000001</v>
      </c>
      <c r="H11" s="3" t="s">
        <v>16</v>
      </c>
      <c r="I11" s="1" t="s">
        <v>50</v>
      </c>
    </row>
    <row r="12" spans="1:9" ht="33">
      <c r="A12" s="3">
        <v>10</v>
      </c>
      <c r="B12" s="47"/>
      <c r="C12" s="31" t="s">
        <v>169</v>
      </c>
      <c r="D12" s="1" t="s">
        <v>170</v>
      </c>
      <c r="E12" s="1" t="s">
        <v>173</v>
      </c>
      <c r="F12" s="1" t="s">
        <v>244</v>
      </c>
      <c r="G12" s="2">
        <f>2560/100</f>
        <v>25.6</v>
      </c>
      <c r="H12" s="1" t="s">
        <v>16</v>
      </c>
      <c r="I12" s="1" t="s">
        <v>171</v>
      </c>
    </row>
    <row r="13" spans="1:9" ht="33">
      <c r="A13" s="3">
        <v>11</v>
      </c>
      <c r="B13" s="48" t="s">
        <v>51</v>
      </c>
      <c r="C13" s="30" t="s">
        <v>58</v>
      </c>
      <c r="D13" s="3" t="s">
        <v>59</v>
      </c>
      <c r="E13" s="3" t="s">
        <v>155</v>
      </c>
      <c r="F13" s="3" t="s">
        <v>245</v>
      </c>
      <c r="G13" s="2">
        <f>(200*160)/10000</f>
        <v>3.2</v>
      </c>
      <c r="H13" s="3" t="s">
        <v>16</v>
      </c>
      <c r="I13" s="1" t="s">
        <v>55</v>
      </c>
    </row>
    <row r="14" spans="1:9" ht="33">
      <c r="A14" s="3">
        <v>12</v>
      </c>
      <c r="B14" s="47"/>
      <c r="C14" s="3" t="s">
        <v>67</v>
      </c>
      <c r="D14" s="3" t="s">
        <v>68</v>
      </c>
      <c r="E14" s="3" t="s">
        <v>153</v>
      </c>
      <c r="F14" s="3" t="s">
        <v>154</v>
      </c>
      <c r="G14" s="2">
        <f>300*200/10000</f>
        <v>6</v>
      </c>
      <c r="H14" s="3" t="s">
        <v>16</v>
      </c>
      <c r="I14" s="1" t="s">
        <v>70</v>
      </c>
    </row>
    <row r="15" spans="1:9" ht="16.5">
      <c r="A15" s="41" t="s">
        <v>74</v>
      </c>
      <c r="B15" s="42"/>
      <c r="C15" s="42"/>
      <c r="D15" s="43"/>
      <c r="E15" s="1" t="s">
        <v>15</v>
      </c>
      <c r="F15" s="1" t="s">
        <v>15</v>
      </c>
      <c r="G15" s="2">
        <f>SUM(G4:G14)</f>
        <v>161.19499999999999</v>
      </c>
      <c r="H15" s="1" t="s">
        <v>15</v>
      </c>
      <c r="I15" s="1" t="s">
        <v>15</v>
      </c>
    </row>
    <row r="18" spans="6:6" ht="16.5">
      <c r="F18" s="8"/>
    </row>
  </sheetData>
  <mergeCells count="6">
    <mergeCell ref="A1:I1"/>
    <mergeCell ref="A15:D15"/>
    <mergeCell ref="B5:B6"/>
    <mergeCell ref="B8:B9"/>
    <mergeCell ref="B10:B12"/>
    <mergeCell ref="B13:B14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85" zoomScaleNormal="85" workbookViewId="0">
      <selection sqref="A1:I17"/>
    </sheetView>
  </sheetViews>
  <sheetFormatPr defaultColWidth="9" defaultRowHeight="13.5"/>
  <cols>
    <col min="2" max="2" width="11.375" customWidth="1"/>
    <col min="3" max="3" width="16.875" customWidth="1"/>
    <col min="4" max="4" width="23" customWidth="1"/>
    <col min="5" max="5" width="30.25" customWidth="1"/>
    <col min="6" max="6" width="28.125" customWidth="1"/>
    <col min="7" max="7" width="20.5" style="22" customWidth="1"/>
    <col min="8" max="8" width="23" customWidth="1"/>
    <col min="9" max="9" width="67.625" customWidth="1"/>
  </cols>
  <sheetData>
    <row r="1" spans="1:9" ht="21">
      <c r="A1" s="39" t="s">
        <v>290</v>
      </c>
      <c r="B1" s="40"/>
      <c r="C1" s="40"/>
      <c r="D1" s="40"/>
      <c r="E1" s="40"/>
      <c r="F1" s="40"/>
      <c r="G1" s="40"/>
      <c r="H1" s="40"/>
      <c r="I1" s="40"/>
    </row>
    <row r="2" spans="1:9" ht="16.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3">
        <v>1</v>
      </c>
      <c r="B3" s="26" t="s">
        <v>10</v>
      </c>
      <c r="C3" s="1" t="s">
        <v>11</v>
      </c>
      <c r="D3" s="1" t="s">
        <v>12</v>
      </c>
      <c r="E3" s="1" t="s">
        <v>291</v>
      </c>
      <c r="F3" s="1" t="s">
        <v>14</v>
      </c>
      <c r="G3" s="2" t="s">
        <v>15</v>
      </c>
      <c r="H3" s="3" t="s">
        <v>16</v>
      </c>
      <c r="I3" s="1" t="s">
        <v>17</v>
      </c>
    </row>
    <row r="4" spans="1:9" ht="33">
      <c r="A4" s="3">
        <v>2</v>
      </c>
      <c r="B4" s="3" t="s">
        <v>18</v>
      </c>
      <c r="C4" s="3" t="s">
        <v>19</v>
      </c>
      <c r="D4" s="3" t="s">
        <v>20</v>
      </c>
      <c r="E4" s="3" t="s">
        <v>292</v>
      </c>
      <c r="F4" s="3" t="s">
        <v>90</v>
      </c>
      <c r="G4" s="2">
        <f>0.06*6</f>
        <v>0.36</v>
      </c>
      <c r="H4" s="3" t="s">
        <v>16</v>
      </c>
      <c r="I4" s="1" t="s">
        <v>23</v>
      </c>
    </row>
    <row r="5" spans="1:9" ht="33">
      <c r="A5" s="3">
        <v>3</v>
      </c>
      <c r="B5" s="46" t="s">
        <v>24</v>
      </c>
      <c r="C5" s="5" t="s">
        <v>25</v>
      </c>
      <c r="D5" s="3" t="s">
        <v>26</v>
      </c>
      <c r="E5" s="3" t="s">
        <v>293</v>
      </c>
      <c r="F5" s="3" t="s">
        <v>150</v>
      </c>
      <c r="G5" s="2">
        <v>15</v>
      </c>
      <c r="H5" s="3" t="s">
        <v>16</v>
      </c>
      <c r="I5" s="1" t="s">
        <v>28</v>
      </c>
    </row>
    <row r="6" spans="1:9" ht="33">
      <c r="A6" s="3">
        <v>4</v>
      </c>
      <c r="B6" s="47"/>
      <c r="C6" s="1" t="s">
        <v>29</v>
      </c>
      <c r="D6" s="1" t="s">
        <v>30</v>
      </c>
      <c r="E6" s="6" t="s">
        <v>31</v>
      </c>
      <c r="F6" s="6" t="s">
        <v>188</v>
      </c>
      <c r="G6" s="2">
        <f>(190*200+537*150)/10000</f>
        <v>11.855</v>
      </c>
      <c r="H6" s="3" t="s">
        <v>16</v>
      </c>
      <c r="I6" s="1" t="s">
        <v>32</v>
      </c>
    </row>
    <row r="7" spans="1:9" ht="33">
      <c r="A7" s="3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287</v>
      </c>
      <c r="G7" s="4">
        <f>(40*200+650*80)/10000</f>
        <v>6</v>
      </c>
      <c r="H7" s="38" t="s">
        <v>16</v>
      </c>
      <c r="I7" s="38" t="s">
        <v>280</v>
      </c>
    </row>
    <row r="8" spans="1:9" ht="33">
      <c r="A8" s="3">
        <v>6</v>
      </c>
      <c r="B8" s="48" t="s">
        <v>33</v>
      </c>
      <c r="C8" s="1" t="s">
        <v>34</v>
      </c>
      <c r="D8" s="1" t="s">
        <v>35</v>
      </c>
      <c r="E8" s="1" t="s">
        <v>291</v>
      </c>
      <c r="F8" s="1" t="s">
        <v>14</v>
      </c>
      <c r="G8" s="2" t="s">
        <v>15</v>
      </c>
      <c r="H8" s="3" t="s">
        <v>16</v>
      </c>
      <c r="I8" s="1" t="s">
        <v>36</v>
      </c>
    </row>
    <row r="9" spans="1:9" ht="33">
      <c r="A9" s="3">
        <v>7</v>
      </c>
      <c r="B9" s="47"/>
      <c r="C9" s="1" t="s">
        <v>37</v>
      </c>
      <c r="D9" s="1" t="s">
        <v>38</v>
      </c>
      <c r="E9" s="1" t="s">
        <v>291</v>
      </c>
      <c r="F9" s="1" t="s">
        <v>14</v>
      </c>
      <c r="G9" s="2">
        <v>20</v>
      </c>
      <c r="H9" s="3" t="s">
        <v>16</v>
      </c>
      <c r="I9" s="1" t="s">
        <v>39</v>
      </c>
    </row>
    <row r="10" spans="1:9" ht="33">
      <c r="A10" s="3">
        <v>8</v>
      </c>
      <c r="B10" s="48" t="s">
        <v>40</v>
      </c>
      <c r="C10" s="31" t="s">
        <v>43</v>
      </c>
      <c r="D10" s="1" t="s">
        <v>44</v>
      </c>
      <c r="E10" s="1" t="s">
        <v>294</v>
      </c>
      <c r="F10" s="1" t="s">
        <v>246</v>
      </c>
      <c r="G10" s="2">
        <f>(3.5*33)/100</f>
        <v>1.155</v>
      </c>
      <c r="H10" s="3" t="s">
        <v>16</v>
      </c>
      <c r="I10" s="1" t="s">
        <v>45</v>
      </c>
    </row>
    <row r="11" spans="1:9" ht="33">
      <c r="A11" s="3">
        <v>9</v>
      </c>
      <c r="B11" s="46"/>
      <c r="C11" s="1" t="s">
        <v>46</v>
      </c>
      <c r="D11" s="1" t="s">
        <v>47</v>
      </c>
      <c r="E11" s="1" t="s">
        <v>295</v>
      </c>
      <c r="F11" s="6" t="s">
        <v>156</v>
      </c>
      <c r="G11" s="2">
        <f>(420*2)/100</f>
        <v>8.4</v>
      </c>
      <c r="H11" s="3" t="s">
        <v>16</v>
      </c>
      <c r="I11" s="1" t="s">
        <v>50</v>
      </c>
    </row>
    <row r="12" spans="1:9" ht="33">
      <c r="A12" s="3">
        <v>10</v>
      </c>
      <c r="B12" s="47"/>
      <c r="C12" s="31" t="s">
        <v>169</v>
      </c>
      <c r="D12" s="1" t="s">
        <v>170</v>
      </c>
      <c r="E12" s="1" t="s">
        <v>296</v>
      </c>
      <c r="F12" s="1" t="s">
        <v>249</v>
      </c>
      <c r="G12" s="2">
        <f>3260/100</f>
        <v>32.6</v>
      </c>
      <c r="H12" s="1" t="s">
        <v>16</v>
      </c>
      <c r="I12" s="1" t="s">
        <v>171</v>
      </c>
    </row>
    <row r="13" spans="1:9" ht="33">
      <c r="A13" s="3">
        <v>11</v>
      </c>
      <c r="B13" s="49" t="s">
        <v>51</v>
      </c>
      <c r="C13" s="33" t="s">
        <v>58</v>
      </c>
      <c r="D13" s="3" t="s">
        <v>59</v>
      </c>
      <c r="E13" s="3" t="s">
        <v>297</v>
      </c>
      <c r="F13" s="3" t="s">
        <v>250</v>
      </c>
      <c r="G13" s="2">
        <f>(130*200)/10000</f>
        <v>2.6</v>
      </c>
      <c r="H13" s="3" t="s">
        <v>16</v>
      </c>
      <c r="I13" s="1" t="s">
        <v>55</v>
      </c>
    </row>
    <row r="14" spans="1:9" ht="33">
      <c r="A14" s="3">
        <v>12</v>
      </c>
      <c r="B14" s="49"/>
      <c r="C14" s="29" t="s">
        <v>64</v>
      </c>
      <c r="D14" s="3" t="s">
        <v>65</v>
      </c>
      <c r="E14" s="3" t="s">
        <v>298</v>
      </c>
      <c r="F14" s="3" t="s">
        <v>158</v>
      </c>
      <c r="G14" s="2">
        <v>3.5</v>
      </c>
      <c r="H14" s="3" t="s">
        <v>16</v>
      </c>
      <c r="I14" s="1" t="s">
        <v>66</v>
      </c>
    </row>
    <row r="15" spans="1:9" ht="33">
      <c r="A15" s="3">
        <v>13</v>
      </c>
      <c r="B15" s="49"/>
      <c r="C15" s="29" t="s">
        <v>67</v>
      </c>
      <c r="D15" s="3" t="s">
        <v>68</v>
      </c>
      <c r="E15" s="3" t="s">
        <v>299</v>
      </c>
      <c r="F15" s="3" t="s">
        <v>157</v>
      </c>
      <c r="G15" s="2">
        <f>477*200/10000</f>
        <v>9.5399999999999991</v>
      </c>
      <c r="H15" s="3" t="s">
        <v>16</v>
      </c>
      <c r="I15" s="1" t="s">
        <v>70</v>
      </c>
    </row>
    <row r="16" spans="1:9" s="13" customFormat="1" ht="33">
      <c r="A16" s="3">
        <v>14</v>
      </c>
      <c r="B16" s="49"/>
      <c r="C16" s="33" t="s">
        <v>52</v>
      </c>
      <c r="D16" s="3" t="s">
        <v>53</v>
      </c>
      <c r="E16" s="3" t="s">
        <v>247</v>
      </c>
      <c r="F16" s="3" t="s">
        <v>248</v>
      </c>
      <c r="G16" s="2">
        <v>4.0999999999999996</v>
      </c>
      <c r="H16" s="3" t="s">
        <v>16</v>
      </c>
      <c r="I16" s="28" t="s">
        <v>55</v>
      </c>
    </row>
    <row r="17" spans="1:9" ht="16.5">
      <c r="A17" s="41" t="s">
        <v>74</v>
      </c>
      <c r="B17" s="42"/>
      <c r="C17" s="42"/>
      <c r="D17" s="43"/>
      <c r="E17" s="1" t="s">
        <v>15</v>
      </c>
      <c r="F17" s="1" t="s">
        <v>15</v>
      </c>
      <c r="G17" s="2">
        <f>SUM(G4:G16)</f>
        <v>115.10999999999999</v>
      </c>
      <c r="H17" s="1" t="s">
        <v>15</v>
      </c>
      <c r="I17" s="1" t="s">
        <v>15</v>
      </c>
    </row>
    <row r="25" spans="1:9">
      <c r="H25">
        <f>214+150</f>
        <v>364</v>
      </c>
    </row>
  </sheetData>
  <mergeCells count="6">
    <mergeCell ref="A1:I1"/>
    <mergeCell ref="A17:D17"/>
    <mergeCell ref="B5:B6"/>
    <mergeCell ref="B8:B9"/>
    <mergeCell ref="B10:B12"/>
    <mergeCell ref="B13:B16"/>
  </mergeCells>
  <phoneticPr fontId="9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4" workbookViewId="0">
      <selection activeCell="F12" sqref="F12"/>
    </sheetView>
  </sheetViews>
  <sheetFormatPr defaultColWidth="9" defaultRowHeight="13.5"/>
  <cols>
    <col min="3" max="3" width="11.625" customWidth="1"/>
    <col min="4" max="4" width="13.125" customWidth="1"/>
    <col min="5" max="5" width="18.875" customWidth="1"/>
    <col min="6" max="6" width="36.125" customWidth="1"/>
    <col min="7" max="7" width="16" style="22" customWidth="1"/>
    <col min="8" max="8" width="26.625" customWidth="1"/>
    <col min="9" max="9" width="71.875" customWidth="1"/>
  </cols>
  <sheetData>
    <row r="1" spans="1:9" ht="21">
      <c r="A1" s="39" t="s">
        <v>159</v>
      </c>
      <c r="B1" s="40"/>
      <c r="C1" s="40"/>
      <c r="D1" s="40"/>
      <c r="E1" s="40"/>
      <c r="F1" s="40"/>
      <c r="G1" s="40"/>
      <c r="H1" s="40"/>
      <c r="I1" s="40"/>
    </row>
    <row r="2" spans="1:9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1" t="s">
        <v>8</v>
      </c>
      <c r="I2" s="1" t="s">
        <v>9</v>
      </c>
    </row>
    <row r="3" spans="1:9" ht="33">
      <c r="A3" s="3">
        <v>1</v>
      </c>
      <c r="B3" s="26" t="s">
        <v>10</v>
      </c>
      <c r="C3" s="1" t="s">
        <v>11</v>
      </c>
      <c r="D3" s="1" t="s">
        <v>12</v>
      </c>
      <c r="E3" s="1" t="s">
        <v>160</v>
      </c>
      <c r="F3" s="1" t="s">
        <v>14</v>
      </c>
      <c r="G3" s="2" t="s">
        <v>15</v>
      </c>
      <c r="H3" s="3" t="s">
        <v>16</v>
      </c>
      <c r="I3" s="1" t="s">
        <v>17</v>
      </c>
    </row>
    <row r="4" spans="1:9" ht="33">
      <c r="A4" s="3">
        <v>2</v>
      </c>
      <c r="B4" s="3" t="s">
        <v>18</v>
      </c>
      <c r="C4" s="3" t="s">
        <v>19</v>
      </c>
      <c r="D4" s="3" t="s">
        <v>20</v>
      </c>
      <c r="E4" s="3" t="s">
        <v>161</v>
      </c>
      <c r="F4" s="3" t="s">
        <v>90</v>
      </c>
      <c r="G4" s="2">
        <f>0.06*6</f>
        <v>0.36</v>
      </c>
      <c r="H4" s="3" t="s">
        <v>16</v>
      </c>
      <c r="I4" s="1" t="s">
        <v>23</v>
      </c>
    </row>
    <row r="5" spans="1:9" ht="33">
      <c r="A5" s="3">
        <v>3</v>
      </c>
      <c r="B5" s="46" t="s">
        <v>24</v>
      </c>
      <c r="C5" s="5" t="s">
        <v>25</v>
      </c>
      <c r="D5" s="3" t="s">
        <v>26</v>
      </c>
      <c r="E5" s="3" t="s">
        <v>162</v>
      </c>
      <c r="F5" s="3" t="s">
        <v>163</v>
      </c>
      <c r="G5" s="2">
        <v>10</v>
      </c>
      <c r="H5" s="3" t="s">
        <v>16</v>
      </c>
      <c r="I5" s="1" t="s">
        <v>28</v>
      </c>
    </row>
    <row r="6" spans="1:9" ht="33">
      <c r="A6" s="3">
        <v>4</v>
      </c>
      <c r="B6" s="47"/>
      <c r="C6" s="1" t="s">
        <v>29</v>
      </c>
      <c r="D6" s="1" t="s">
        <v>30</v>
      </c>
      <c r="E6" s="6" t="s">
        <v>31</v>
      </c>
      <c r="F6" s="6" t="s">
        <v>189</v>
      </c>
      <c r="G6" s="2">
        <f>(200*224+150*718)/10000</f>
        <v>15.25</v>
      </c>
      <c r="H6" s="3" t="s">
        <v>16</v>
      </c>
      <c r="I6" s="1" t="s">
        <v>32</v>
      </c>
    </row>
    <row r="7" spans="1:9" ht="33">
      <c r="A7" s="3">
        <v>5</v>
      </c>
      <c r="B7" s="37" t="s">
        <v>277</v>
      </c>
      <c r="C7" s="38" t="s">
        <v>278</v>
      </c>
      <c r="D7" s="38" t="s">
        <v>279</v>
      </c>
      <c r="E7" s="6" t="s">
        <v>31</v>
      </c>
      <c r="F7" s="6" t="s">
        <v>288</v>
      </c>
      <c r="G7" s="4">
        <f>(80*200+900*80)/10000</f>
        <v>8.8000000000000007</v>
      </c>
      <c r="H7" s="38" t="s">
        <v>16</v>
      </c>
      <c r="I7" s="38" t="s">
        <v>280</v>
      </c>
    </row>
    <row r="8" spans="1:9" ht="33">
      <c r="A8" s="3">
        <v>6</v>
      </c>
      <c r="B8" s="48" t="s">
        <v>33</v>
      </c>
      <c r="C8" s="1" t="s">
        <v>34</v>
      </c>
      <c r="D8" s="1" t="s">
        <v>35</v>
      </c>
      <c r="E8" s="1" t="s">
        <v>160</v>
      </c>
      <c r="F8" s="1" t="s">
        <v>14</v>
      </c>
      <c r="G8" s="2" t="s">
        <v>15</v>
      </c>
      <c r="H8" s="3" t="s">
        <v>16</v>
      </c>
      <c r="I8" s="1" t="s">
        <v>36</v>
      </c>
    </row>
    <row r="9" spans="1:9" ht="33">
      <c r="A9" s="3">
        <v>7</v>
      </c>
      <c r="B9" s="47"/>
      <c r="C9" s="1" t="s">
        <v>37</v>
      </c>
      <c r="D9" s="1" t="s">
        <v>38</v>
      </c>
      <c r="E9" s="1" t="s">
        <v>160</v>
      </c>
      <c r="F9" s="1" t="s">
        <v>14</v>
      </c>
      <c r="G9" s="2">
        <v>20</v>
      </c>
      <c r="H9" s="3" t="s">
        <v>16</v>
      </c>
      <c r="I9" s="1" t="s">
        <v>39</v>
      </c>
    </row>
    <row r="10" spans="1:9" s="14" customFormat="1" ht="33">
      <c r="A10" s="3">
        <v>8</v>
      </c>
      <c r="B10" s="48" t="s">
        <v>40</v>
      </c>
      <c r="C10" s="31" t="s">
        <v>43</v>
      </c>
      <c r="D10" s="28" t="s">
        <v>44</v>
      </c>
      <c r="E10" s="28" t="s">
        <v>251</v>
      </c>
      <c r="F10" s="28" t="s">
        <v>252</v>
      </c>
      <c r="G10" s="2">
        <f>3.5*150/100</f>
        <v>5.25</v>
      </c>
      <c r="H10" s="3" t="s">
        <v>16</v>
      </c>
      <c r="I10" s="28" t="s">
        <v>45</v>
      </c>
    </row>
    <row r="11" spans="1:9" ht="33">
      <c r="A11" s="3">
        <v>9</v>
      </c>
      <c r="B11" s="46"/>
      <c r="C11" s="1" t="s">
        <v>46</v>
      </c>
      <c r="D11" s="1" t="s">
        <v>47</v>
      </c>
      <c r="E11" s="6" t="s">
        <v>48</v>
      </c>
      <c r="F11" s="6" t="s">
        <v>164</v>
      </c>
      <c r="G11" s="2">
        <f>(2*65+1.5*476)/100</f>
        <v>8.44</v>
      </c>
      <c r="H11" s="3" t="s">
        <v>16</v>
      </c>
      <c r="I11" s="1" t="s">
        <v>50</v>
      </c>
    </row>
    <row r="12" spans="1:9" ht="33">
      <c r="A12" s="3">
        <v>10</v>
      </c>
      <c r="B12" s="47"/>
      <c r="C12" s="31" t="s">
        <v>169</v>
      </c>
      <c r="D12" s="1" t="s">
        <v>170</v>
      </c>
      <c r="E12" s="1" t="s">
        <v>174</v>
      </c>
      <c r="F12" s="1" t="s">
        <v>253</v>
      </c>
      <c r="G12" s="2">
        <f>3550/100</f>
        <v>35.5</v>
      </c>
      <c r="H12" s="1" t="s">
        <v>16</v>
      </c>
      <c r="I12" s="1" t="s">
        <v>171</v>
      </c>
    </row>
    <row r="13" spans="1:9" ht="33">
      <c r="A13" s="3">
        <v>11</v>
      </c>
      <c r="B13" s="48" t="s">
        <v>51</v>
      </c>
      <c r="C13" s="30" t="s">
        <v>58</v>
      </c>
      <c r="D13" s="3" t="s">
        <v>59</v>
      </c>
      <c r="E13" s="3" t="s">
        <v>165</v>
      </c>
      <c r="F13" s="3" t="s">
        <v>254</v>
      </c>
      <c r="G13" s="2">
        <f>(450*200)/10000</f>
        <v>9</v>
      </c>
      <c r="H13" s="3" t="s">
        <v>16</v>
      </c>
      <c r="I13" s="1" t="s">
        <v>55</v>
      </c>
    </row>
    <row r="14" spans="1:9" ht="33">
      <c r="A14" s="3">
        <v>12</v>
      </c>
      <c r="B14" s="46"/>
      <c r="C14" s="3" t="s">
        <v>67</v>
      </c>
      <c r="D14" s="3" t="s">
        <v>68</v>
      </c>
      <c r="E14" s="3" t="s">
        <v>166</v>
      </c>
      <c r="F14" s="3" t="s">
        <v>167</v>
      </c>
      <c r="G14" s="2">
        <f>264*200/10000</f>
        <v>5.28</v>
      </c>
      <c r="H14" s="3" t="s">
        <v>16</v>
      </c>
      <c r="I14" s="1" t="s">
        <v>70</v>
      </c>
    </row>
    <row r="15" spans="1:9" ht="33">
      <c r="A15" s="3">
        <v>13</v>
      </c>
      <c r="B15" s="46"/>
      <c r="C15" s="30" t="s">
        <v>71</v>
      </c>
      <c r="D15" s="3" t="s">
        <v>72</v>
      </c>
      <c r="E15" s="3" t="s">
        <v>168</v>
      </c>
      <c r="F15" s="3" t="s">
        <v>255</v>
      </c>
      <c r="G15" s="2">
        <f>290*100/10000</f>
        <v>2.9</v>
      </c>
      <c r="H15" s="3" t="s">
        <v>16</v>
      </c>
      <c r="I15" s="1" t="s">
        <v>73</v>
      </c>
    </row>
    <row r="16" spans="1:9" ht="33">
      <c r="A16" s="3">
        <v>14</v>
      </c>
      <c r="B16" s="47"/>
      <c r="C16" s="3" t="s">
        <v>52</v>
      </c>
      <c r="D16" s="3" t="s">
        <v>53</v>
      </c>
      <c r="E16" s="3" t="s">
        <v>175</v>
      </c>
      <c r="F16" s="3" t="s">
        <v>256</v>
      </c>
      <c r="G16" s="2">
        <v>4.0999999999999996</v>
      </c>
      <c r="H16" s="3" t="s">
        <v>16</v>
      </c>
      <c r="I16" s="1" t="s">
        <v>55</v>
      </c>
    </row>
    <row r="17" spans="1:9" ht="16.5">
      <c r="A17" s="41" t="s">
        <v>74</v>
      </c>
      <c r="B17" s="42"/>
      <c r="C17" s="42"/>
      <c r="D17" s="43"/>
      <c r="E17" s="1" t="s">
        <v>15</v>
      </c>
      <c r="F17" s="1" t="s">
        <v>15</v>
      </c>
      <c r="G17" s="2">
        <f>SUM(G4:G16)</f>
        <v>124.88</v>
      </c>
      <c r="H17" s="1" t="s">
        <v>15</v>
      </c>
      <c r="I17" s="1" t="s">
        <v>15</v>
      </c>
    </row>
  </sheetData>
  <mergeCells count="6">
    <mergeCell ref="A1:I1"/>
    <mergeCell ref="A17:D17"/>
    <mergeCell ref="B5:B6"/>
    <mergeCell ref="B8:B9"/>
    <mergeCell ref="B13:B16"/>
    <mergeCell ref="B10:B12"/>
  </mergeCells>
  <phoneticPr fontId="9" type="noConversion"/>
  <pageMargins left="0.69930555555555596" right="0.69930555555555596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长坑村村庄基础规划建设项目库</vt:lpstr>
      <vt:lpstr>上水村</vt:lpstr>
      <vt:lpstr>上横村 下横村</vt:lpstr>
      <vt:lpstr>排龙</vt:lpstr>
      <vt:lpstr>莲岗村</vt:lpstr>
      <vt:lpstr>下水村</vt:lpstr>
      <vt:lpstr>岭安村</vt:lpstr>
      <vt:lpstr>连安村</vt:lpstr>
      <vt:lpstr>蚬坑村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2018-05-11T02:21:00Z</dcterms:created>
  <dcterms:modified xsi:type="dcterms:W3CDTF">2019-08-05T03:48:38Z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